
<file path=[Content_Types].xml><?xml version="1.0" encoding="utf-8"?>
<Types xmlns="http://schemas.openxmlformats.org/package/2006/content-types">
  <Override PartName="/xl/tables/table4.xml" ContentType="application/vnd.openxmlformats-officedocument.spreadsheetml.table+xml"/>
  <Override PartName="/xl/charts/chart6.xml" ContentType="application/vnd.openxmlformats-officedocument.drawingml.chart+xml"/>
  <Override PartName="/xl/tables/table16.xml" ContentType="application/vnd.openxmlformats-officedocument.spreadsheetml.table+xml"/>
  <Override PartName="/xl/tables/table25.xml" ContentType="application/vnd.openxmlformats-officedocument.spreadsheetml.table+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charts/chart4.xml" ContentType="application/vnd.openxmlformats-officedocument.drawingml.chart+xml"/>
  <Override PartName="/xl/tables/table14.xml" ContentType="application/vnd.openxmlformats-officedocument.spreadsheetml.table+xml"/>
  <Override PartName="/xl/tables/table23.xml" ContentType="application/vnd.openxmlformats-officedocument.spreadsheetml.table+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tables/table12.xml" ContentType="application/vnd.openxmlformats-officedocument.spreadsheetml.table+xml"/>
  <Override PartName="/xl/drawings/drawing4.xml" ContentType="application/vnd.openxmlformats-officedocument.drawing+xml"/>
  <Override PartName="/xl/tables/table21.xml" ContentType="application/vnd.openxmlformats-officedocument.spreadsheetml.table+xml"/>
  <Override PartName="/xl/tables/table30.xml" ContentType="application/vnd.openxmlformats-officedocument.spreadsheetml.table+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tables/table10.xml" ContentType="application/vnd.openxmlformats-officedocument.spreadsheetml.table+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charts/chart18.xml" ContentType="application/vnd.openxmlformats-officedocument.drawingml.chart+xml"/>
  <Override PartName="/xl/worksheets/sheet1.xml" ContentType="application/vnd.openxmlformats-officedocument.spreadsheetml.worksheet+xml"/>
  <Override PartName="/xl/tables/table9.xml" ContentType="application/vnd.openxmlformats-officedocument.spreadsheetml.table+xml"/>
  <Override PartName="/xl/charts/chart16.xml" ContentType="application/vnd.openxmlformats-officedocument.drawingml.chart+xml"/>
  <Override PartName="/xl/sharedStrings.xml" ContentType="application/vnd.openxmlformats-officedocument.spreadsheetml.sharedStrings+xml"/>
  <Override PartName="/xl/tables/table7.xml" ContentType="application/vnd.openxmlformats-officedocument.spreadsheetml.table+xml"/>
  <Override PartName="/xl/tables/table19.xml" ContentType="application/vnd.openxmlformats-officedocument.spreadsheetml.table+xml"/>
  <Override PartName="/xl/charts/chart14.xml" ContentType="application/vnd.openxmlformats-officedocument.drawingml.chart+xml"/>
  <Override PartName="/xl/charts/chart23.xml" ContentType="application/vnd.openxmlformats-officedocument.drawingml.chart+xml"/>
  <Override PartName="/xl/tables/table5.xml" ContentType="application/vnd.openxmlformats-officedocument.spreadsheetml.table+xml"/>
  <Override PartName="/xl/charts/chart9.xml" ContentType="application/vnd.openxmlformats-officedocument.drawingml.chart+xml"/>
  <Override PartName="/xl/charts/chart12.xml" ContentType="application/vnd.openxmlformats-officedocument.drawingml.chart+xml"/>
  <Override PartName="/xl/tables/table17.xml" ContentType="application/vnd.openxmlformats-officedocument.spreadsheetml.table+xml"/>
  <Override PartName="/xl/tables/table26.xml" ContentType="application/vnd.openxmlformats-officedocument.spreadsheetml.table+xml"/>
  <Override PartName="/xl/tables/table28.xml" ContentType="application/vnd.openxmlformats-officedocument.spreadsheetml.table+xml"/>
  <Override PartName="/xl/charts/chart21.xml" ContentType="application/vnd.openxmlformats-officedocument.drawingml.chart+xml"/>
  <Default Extension="bin" ContentType="application/vnd.openxmlformats-officedocument.spreadsheetml.printerSettings"/>
  <Override PartName="/xl/tables/table3.xml" ContentType="application/vnd.openxmlformats-officedocument.spreadsheetml.table+xml"/>
  <Override PartName="/xl/charts/chart7.xml" ContentType="application/vnd.openxmlformats-officedocument.drawingml.chart+xml"/>
  <Override PartName="/xl/tables/table15.xml" ContentType="application/vnd.openxmlformats-officedocument.spreadsheetml.table+xml"/>
  <Override PartName="/xl/charts/chart10.xml" ContentType="application/vnd.openxmlformats-officedocument.drawingml.chart+xml"/>
  <Override PartName="/xl/tables/table24.xml" ContentType="application/vnd.openxmlformats-officedocument.spreadsheetml.table+xml"/>
  <Override PartName="/xl/tables/table1.xml" ContentType="application/vnd.openxmlformats-officedocument.spreadsheetml.table+xml"/>
  <Override PartName="/xl/charts/chart5.xml" ContentType="application/vnd.openxmlformats-officedocument.drawingml.chart+xml"/>
  <Override PartName="/xl/tables/table13.xml" ContentType="application/vnd.openxmlformats-officedocument.spreadsheetml.table+xml"/>
  <Override PartName="/xl/tables/table22.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tables/table11.xml" ContentType="application/vnd.openxmlformats-officedocument.spreadsheetml.table+xml"/>
  <Override PartName="/xl/tables/table20.xml" ContentType="application/vnd.openxmlformats-officedocument.spreadsheetml.table+xml"/>
  <Override PartName="/xl/drawings/drawing5.xml" ContentType="application/vnd.openxmlformats-officedocument.drawing+xml"/>
  <Override PartName="/xl/pivotTables/pivotTable1.xml" ContentType="application/vnd.openxmlformats-officedocument.spreadsheetml.pivotTable+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harts/chart19.xml" ContentType="application/vnd.openxmlformats-officedocument.drawingml.char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calcChain.xml" ContentType="application/vnd.openxmlformats-officedocument.spreadsheetml.calcChain+xml"/>
  <Override PartName="/xl/tables/table8.xml" ContentType="application/vnd.openxmlformats-officedocument.spreadsheetml.table+xml"/>
  <Override PartName="/xl/charts/chart13.xml" ContentType="application/vnd.openxmlformats-officedocument.drawingml.chart+xml"/>
  <Override PartName="/xl/charts/chart15.xml" ContentType="application/vnd.openxmlformats-officedocument.drawingml.chart+xml"/>
  <Override PartName="/xl/tables/table29.xml" ContentType="application/vnd.openxmlformats-officedocument.spreadsheetml.table+xml"/>
  <Override PartName="/xl/charts/chart24.xml" ContentType="application/vnd.openxmlformats-officedocument.drawingml.chart+xml"/>
  <Override PartName="/xl/pivotCache/pivotCacheRecords1.xml" ContentType="application/vnd.openxmlformats-officedocument.spreadsheetml.pivotCacheRecords+xml"/>
  <Override PartName="/xl/tables/table6.xml" ContentType="application/vnd.openxmlformats-officedocument.spreadsheetml.table+xml"/>
  <Override PartName="/xl/charts/chart8.xml" ContentType="application/vnd.openxmlformats-officedocument.drawingml.chart+xml"/>
  <Override PartName="/xl/charts/chart11.xml" ContentType="application/vnd.openxmlformats-officedocument.drawingml.chart+xml"/>
  <Override PartName="/xl/tables/table18.xml" ContentType="application/vnd.openxmlformats-officedocument.spreadsheetml.table+xml"/>
  <Override PartName="/xl/tables/table27.xml" ContentType="application/vnd.openxmlformats-officedocument.spreadsheetml.table+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1215" yWindow="660" windowWidth="10650" windowHeight="5565" tabRatio="954" firstSheet="2" activeTab="12"/>
  </bookViews>
  <sheets>
    <sheet name="Week 1 Stats" sheetId="1" r:id="rId1"/>
    <sheet name="Week 1 Graphs" sheetId="2" r:id="rId2"/>
    <sheet name="Week 2 Stats" sheetId="12" r:id="rId3"/>
    <sheet name="Week 2 Graphs" sheetId="11" r:id="rId4"/>
    <sheet name="Week 3 Stats" sheetId="10" r:id="rId5"/>
    <sheet name="Week 3 Graphs" sheetId="9" r:id="rId6"/>
    <sheet name="Week 4 Stats" sheetId="8" r:id="rId7"/>
    <sheet name="Week 4 Graphs" sheetId="7" r:id="rId8"/>
    <sheet name="Week 5 Stats" sheetId="14" r:id="rId9"/>
    <sheet name="Week 5 Graph" sheetId="13" r:id="rId10"/>
    <sheet name="Month Stats" sheetId="4" r:id="rId11"/>
    <sheet name="Month Graphs" sheetId="3" r:id="rId12"/>
    <sheet name="Sheet1" sheetId="15" r:id="rId13"/>
  </sheets>
  <definedNames>
    <definedName name="_xlnm._FilterDatabase" localSheetId="12" hidden="1">Sheet1!$A$1:$P$43</definedName>
    <definedName name="_xlnm.Print_Area" localSheetId="10">'Month Stats'!$A$1:$U$208</definedName>
    <definedName name="_xlnm.Print_Area" localSheetId="0">'Week 1 Stats'!#REF!</definedName>
    <definedName name="_xlnm.Print_Area" localSheetId="2">'Week 2 Stats'!#REF!</definedName>
    <definedName name="_xlnm.Print_Area" localSheetId="4">'Week 3 Stats'!#REF!</definedName>
    <definedName name="_xlnm.Print_Area" localSheetId="6">'Week 4 Stats'!#REF!</definedName>
  </definedNames>
  <calcPr calcId="125725"/>
  <pivotCaches>
    <pivotCache cacheId="3" r:id="rId14"/>
  </pivotCaches>
</workbook>
</file>

<file path=xl/calcChain.xml><?xml version="1.0" encoding="utf-8"?>
<calcChain xmlns="http://schemas.openxmlformats.org/spreadsheetml/2006/main">
  <c r="F17" i="15"/>
  <c r="E17"/>
  <c r="D17"/>
  <c r="C17"/>
  <c r="B17"/>
  <c r="C16"/>
  <c r="G16" s="1"/>
  <c r="C15"/>
  <c r="G15" s="1"/>
  <c r="G14"/>
  <c r="C14"/>
  <c r="C13"/>
  <c r="G13" s="1"/>
  <c r="C12"/>
  <c r="G12" s="1"/>
  <c r="C11"/>
  <c r="G11" s="1"/>
  <c r="C10"/>
  <c r="G10" s="1"/>
  <c r="C9"/>
  <c r="G9" s="1"/>
  <c r="C8"/>
  <c r="G8" s="1"/>
  <c r="C7"/>
  <c r="G7" s="1"/>
  <c r="C6"/>
  <c r="G6" s="1"/>
  <c r="C5"/>
  <c r="C3"/>
  <c r="G3" s="1"/>
  <c r="C4"/>
  <c r="G4" s="1"/>
  <c r="C2"/>
  <c r="G2"/>
  <c r="G5" l="1"/>
  <c r="A37" i="4"/>
  <c r="G35"/>
  <c r="A35"/>
  <c r="I81"/>
  <c r="A10" i="8"/>
  <c r="F10"/>
  <c r="F35" i="4" s="1"/>
  <c r="H10" i="8"/>
  <c r="H35" i="4" s="1"/>
  <c r="A26" i="8"/>
  <c r="I26"/>
  <c r="I84" i="4"/>
  <c r="I29" i="8"/>
  <c r="A12"/>
  <c r="F12"/>
  <c r="H12"/>
  <c r="A43" i="10"/>
  <c r="A53"/>
  <c r="A140" i="4" l="1"/>
  <c r="A46" i="14"/>
  <c r="A38"/>
  <c r="U38"/>
  <c r="I46" s="1"/>
  <c r="A28"/>
  <c r="A17"/>
  <c r="I17"/>
  <c r="F6"/>
  <c r="H6"/>
  <c r="A22" i="12"/>
  <c r="F9"/>
  <c r="H9"/>
  <c r="I22"/>
  <c r="F11" i="1"/>
  <c r="G46" i="14" l="1"/>
  <c r="E46"/>
  <c r="C46"/>
  <c r="J40"/>
  <c r="A41"/>
  <c r="A9" i="10"/>
  <c r="A32" s="1"/>
  <c r="F11" i="12"/>
  <c r="H11"/>
  <c r="F6"/>
  <c r="G16" i="4" l="1"/>
  <c r="E16"/>
  <c r="D16"/>
  <c r="C16"/>
  <c r="B16"/>
  <c r="A16"/>
  <c r="I62"/>
  <c r="A31" i="12"/>
  <c r="A112" i="4" s="1"/>
  <c r="A19" i="12"/>
  <c r="A62" i="4" s="1"/>
  <c r="I19" i="12"/>
  <c r="H6"/>
  <c r="H16" i="4" s="1"/>
  <c r="F5" i="12" l="1"/>
  <c r="H5"/>
  <c r="A44" i="4"/>
  <c r="A47" i="14"/>
  <c r="A206" i="4" s="1"/>
  <c r="A42"/>
  <c r="A14" i="8"/>
  <c r="A39" i="4" s="1"/>
  <c r="A11" i="8"/>
  <c r="A36" i="4" s="1"/>
  <c r="A81" s="1"/>
  <c r="A9" i="8"/>
  <c r="A34" i="4" s="1"/>
  <c r="A8" i="8"/>
  <c r="A33" i="4" s="1"/>
  <c r="A7" i="8"/>
  <c r="A6"/>
  <c r="A62" s="1"/>
  <c r="A200" i="4" s="1"/>
  <c r="A10" i="10"/>
  <c r="A28" i="4" s="1"/>
  <c r="A27"/>
  <c r="A8" i="10"/>
  <c r="A26" i="4" s="1"/>
  <c r="A7" i="10"/>
  <c r="A25" i="4" s="1"/>
  <c r="A6" i="10"/>
  <c r="A29" s="1"/>
  <c r="A20" i="4"/>
  <c r="A19"/>
  <c r="A18"/>
  <c r="A59" i="12"/>
  <c r="A188" i="4" s="1"/>
  <c r="A20" i="1"/>
  <c r="A13"/>
  <c r="A28" s="1"/>
  <c r="A12"/>
  <c r="A27" s="1"/>
  <c r="A11"/>
  <c r="A26" s="1"/>
  <c r="A10"/>
  <c r="A25" s="1"/>
  <c r="A9"/>
  <c r="A24" s="1"/>
  <c r="A8"/>
  <c r="A23" s="1"/>
  <c r="A59"/>
  <c r="D205" i="4"/>
  <c r="F205"/>
  <c r="H205"/>
  <c r="J205"/>
  <c r="D206"/>
  <c r="F206"/>
  <c r="H206"/>
  <c r="J206"/>
  <c r="B206"/>
  <c r="D199"/>
  <c r="F199"/>
  <c r="H199"/>
  <c r="J199"/>
  <c r="D200"/>
  <c r="F200"/>
  <c r="H200"/>
  <c r="J200"/>
  <c r="D201"/>
  <c r="F201"/>
  <c r="H201"/>
  <c r="J201"/>
  <c r="D202"/>
  <c r="F202"/>
  <c r="H202"/>
  <c r="J202"/>
  <c r="D203"/>
  <c r="F203"/>
  <c r="H203"/>
  <c r="J203"/>
  <c r="B200"/>
  <c r="B201"/>
  <c r="B202"/>
  <c r="B203"/>
  <c r="D193"/>
  <c r="F193"/>
  <c r="H193"/>
  <c r="J193"/>
  <c r="D194"/>
  <c r="F194"/>
  <c r="H194"/>
  <c r="J194"/>
  <c r="D195"/>
  <c r="F195"/>
  <c r="H195"/>
  <c r="J195"/>
  <c r="D196"/>
  <c r="F196"/>
  <c r="H196"/>
  <c r="J196"/>
  <c r="D197"/>
  <c r="F197"/>
  <c r="H197"/>
  <c r="J197"/>
  <c r="B194"/>
  <c r="B195"/>
  <c r="B196"/>
  <c r="B197"/>
  <c r="D187"/>
  <c r="F187"/>
  <c r="H187"/>
  <c r="J187"/>
  <c r="D188"/>
  <c r="F188"/>
  <c r="H188"/>
  <c r="J188"/>
  <c r="D189"/>
  <c r="F189"/>
  <c r="H189"/>
  <c r="J189"/>
  <c r="D190"/>
  <c r="F190"/>
  <c r="H190"/>
  <c r="J190"/>
  <c r="D191"/>
  <c r="F191"/>
  <c r="H191"/>
  <c r="J191"/>
  <c r="B188"/>
  <c r="B189"/>
  <c r="B190"/>
  <c r="B191"/>
  <c r="B205"/>
  <c r="B199"/>
  <c r="B193"/>
  <c r="B187"/>
  <c r="C173"/>
  <c r="D173"/>
  <c r="E173"/>
  <c r="F173"/>
  <c r="G173"/>
  <c r="H173"/>
  <c r="I173"/>
  <c r="J173"/>
  <c r="K173"/>
  <c r="L173"/>
  <c r="M173"/>
  <c r="N173"/>
  <c r="O173"/>
  <c r="P173"/>
  <c r="Q173"/>
  <c r="R173"/>
  <c r="S173"/>
  <c r="T173"/>
  <c r="C174"/>
  <c r="D174"/>
  <c r="E174"/>
  <c r="F174"/>
  <c r="G174"/>
  <c r="H174"/>
  <c r="I174"/>
  <c r="J174"/>
  <c r="K174"/>
  <c r="L174"/>
  <c r="M174"/>
  <c r="N174"/>
  <c r="O174"/>
  <c r="P174"/>
  <c r="Q174"/>
  <c r="R174"/>
  <c r="S174"/>
  <c r="T174"/>
  <c r="C167"/>
  <c r="D167"/>
  <c r="E167"/>
  <c r="F167"/>
  <c r="G167"/>
  <c r="H167"/>
  <c r="I167"/>
  <c r="J167"/>
  <c r="K167"/>
  <c r="L167"/>
  <c r="M167"/>
  <c r="N167"/>
  <c r="O167"/>
  <c r="P167"/>
  <c r="Q167"/>
  <c r="R167"/>
  <c r="S167"/>
  <c r="T167"/>
  <c r="C168"/>
  <c r="D168"/>
  <c r="E168"/>
  <c r="F168"/>
  <c r="G168"/>
  <c r="H168"/>
  <c r="I168"/>
  <c r="J168"/>
  <c r="K168"/>
  <c r="L168"/>
  <c r="M168"/>
  <c r="N168"/>
  <c r="O168"/>
  <c r="P168"/>
  <c r="Q168"/>
  <c r="R168"/>
  <c r="S168"/>
  <c r="T168"/>
  <c r="C169"/>
  <c r="D169"/>
  <c r="E169"/>
  <c r="F169"/>
  <c r="G169"/>
  <c r="H169"/>
  <c r="I169"/>
  <c r="J169"/>
  <c r="K169"/>
  <c r="L169"/>
  <c r="M169"/>
  <c r="N169"/>
  <c r="O169"/>
  <c r="P169"/>
  <c r="Q169"/>
  <c r="R169"/>
  <c r="S169"/>
  <c r="T169"/>
  <c r="C170"/>
  <c r="D170"/>
  <c r="E170"/>
  <c r="F170"/>
  <c r="G170"/>
  <c r="H170"/>
  <c r="I170"/>
  <c r="J170"/>
  <c r="K170"/>
  <c r="L170"/>
  <c r="M170"/>
  <c r="N170"/>
  <c r="O170"/>
  <c r="P170"/>
  <c r="Q170"/>
  <c r="R170"/>
  <c r="S170"/>
  <c r="T170"/>
  <c r="C171"/>
  <c r="D171"/>
  <c r="E171"/>
  <c r="F171"/>
  <c r="G171"/>
  <c r="H171"/>
  <c r="I171"/>
  <c r="J171"/>
  <c r="K171"/>
  <c r="L171"/>
  <c r="M171"/>
  <c r="N171"/>
  <c r="O171"/>
  <c r="P171"/>
  <c r="Q171"/>
  <c r="R171"/>
  <c r="S171"/>
  <c r="T171"/>
  <c r="C161"/>
  <c r="D161"/>
  <c r="E161"/>
  <c r="F161"/>
  <c r="G161"/>
  <c r="H161"/>
  <c r="I161"/>
  <c r="J161"/>
  <c r="K161"/>
  <c r="L161"/>
  <c r="M161"/>
  <c r="N161"/>
  <c r="O161"/>
  <c r="P161"/>
  <c r="Q161"/>
  <c r="R161"/>
  <c r="S161"/>
  <c r="T161"/>
  <c r="C162"/>
  <c r="D162"/>
  <c r="E162"/>
  <c r="F162"/>
  <c r="G162"/>
  <c r="H162"/>
  <c r="I162"/>
  <c r="J162"/>
  <c r="K162"/>
  <c r="L162"/>
  <c r="M162"/>
  <c r="N162"/>
  <c r="O162"/>
  <c r="P162"/>
  <c r="Q162"/>
  <c r="R162"/>
  <c r="S162"/>
  <c r="T162"/>
  <c r="C163"/>
  <c r="D163"/>
  <c r="E163"/>
  <c r="F163"/>
  <c r="G163"/>
  <c r="H163"/>
  <c r="I163"/>
  <c r="J163"/>
  <c r="K163"/>
  <c r="L163"/>
  <c r="M163"/>
  <c r="N163"/>
  <c r="O163"/>
  <c r="P163"/>
  <c r="Q163"/>
  <c r="R163"/>
  <c r="S163"/>
  <c r="T163"/>
  <c r="C164"/>
  <c r="D164"/>
  <c r="E164"/>
  <c r="F164"/>
  <c r="G164"/>
  <c r="H164"/>
  <c r="I164"/>
  <c r="J164"/>
  <c r="K164"/>
  <c r="L164"/>
  <c r="M164"/>
  <c r="N164"/>
  <c r="O164"/>
  <c r="P164"/>
  <c r="Q164"/>
  <c r="R164"/>
  <c r="S164"/>
  <c r="T164"/>
  <c r="C165"/>
  <c r="D165"/>
  <c r="E165"/>
  <c r="F165"/>
  <c r="G165"/>
  <c r="H165"/>
  <c r="I165"/>
  <c r="J165"/>
  <c r="K165"/>
  <c r="L165"/>
  <c r="M165"/>
  <c r="N165"/>
  <c r="O165"/>
  <c r="P165"/>
  <c r="Q165"/>
  <c r="R165"/>
  <c r="S165"/>
  <c r="T165"/>
  <c r="C155"/>
  <c r="D155"/>
  <c r="E155"/>
  <c r="F155"/>
  <c r="G155"/>
  <c r="H155"/>
  <c r="I155"/>
  <c r="J155"/>
  <c r="K155"/>
  <c r="L155"/>
  <c r="M155"/>
  <c r="N155"/>
  <c r="O155"/>
  <c r="P155"/>
  <c r="Q155"/>
  <c r="R155"/>
  <c r="S155"/>
  <c r="T155"/>
  <c r="C156"/>
  <c r="D156"/>
  <c r="E156"/>
  <c r="F156"/>
  <c r="G156"/>
  <c r="H156"/>
  <c r="I156"/>
  <c r="J156"/>
  <c r="K156"/>
  <c r="L156"/>
  <c r="M156"/>
  <c r="N156"/>
  <c r="O156"/>
  <c r="P156"/>
  <c r="Q156"/>
  <c r="R156"/>
  <c r="S156"/>
  <c r="T156"/>
  <c r="C157"/>
  <c r="D157"/>
  <c r="E157"/>
  <c r="F157"/>
  <c r="G157"/>
  <c r="H157"/>
  <c r="I157"/>
  <c r="J157"/>
  <c r="K157"/>
  <c r="L157"/>
  <c r="M157"/>
  <c r="N157"/>
  <c r="O157"/>
  <c r="P157"/>
  <c r="Q157"/>
  <c r="R157"/>
  <c r="S157"/>
  <c r="T157"/>
  <c r="C158"/>
  <c r="D158"/>
  <c r="E158"/>
  <c r="F158"/>
  <c r="G158"/>
  <c r="H158"/>
  <c r="I158"/>
  <c r="J158"/>
  <c r="K158"/>
  <c r="L158"/>
  <c r="M158"/>
  <c r="N158"/>
  <c r="O158"/>
  <c r="P158"/>
  <c r="Q158"/>
  <c r="R158"/>
  <c r="S158"/>
  <c r="T158"/>
  <c r="C159"/>
  <c r="D159"/>
  <c r="E159"/>
  <c r="F159"/>
  <c r="G159"/>
  <c r="H159"/>
  <c r="I159"/>
  <c r="J159"/>
  <c r="K159"/>
  <c r="L159"/>
  <c r="M159"/>
  <c r="N159"/>
  <c r="O159"/>
  <c r="P159"/>
  <c r="Q159"/>
  <c r="R159"/>
  <c r="S159"/>
  <c r="T159"/>
  <c r="B174"/>
  <c r="B168"/>
  <c r="B169"/>
  <c r="B170"/>
  <c r="B171"/>
  <c r="B162"/>
  <c r="B163"/>
  <c r="B164"/>
  <c r="B165"/>
  <c r="B156"/>
  <c r="B157"/>
  <c r="B158"/>
  <c r="B159"/>
  <c r="B173"/>
  <c r="B167"/>
  <c r="B161"/>
  <c r="B155"/>
  <c r="C138"/>
  <c r="D138"/>
  <c r="E138"/>
  <c r="C139"/>
  <c r="D139"/>
  <c r="E139"/>
  <c r="D141"/>
  <c r="C142"/>
  <c r="D142"/>
  <c r="E142"/>
  <c r="B139"/>
  <c r="B141"/>
  <c r="B142"/>
  <c r="B138"/>
  <c r="B129"/>
  <c r="C129"/>
  <c r="D129"/>
  <c r="E129"/>
  <c r="B130"/>
  <c r="C130"/>
  <c r="D130"/>
  <c r="E130"/>
  <c r="B131"/>
  <c r="C131"/>
  <c r="D131"/>
  <c r="E131"/>
  <c r="B132"/>
  <c r="C132"/>
  <c r="D132"/>
  <c r="E132"/>
  <c r="B133"/>
  <c r="C133"/>
  <c r="D133"/>
  <c r="E133"/>
  <c r="B134"/>
  <c r="C134"/>
  <c r="D134"/>
  <c r="E134"/>
  <c r="B135"/>
  <c r="C135"/>
  <c r="D135"/>
  <c r="E135"/>
  <c r="B136"/>
  <c r="C136"/>
  <c r="D136"/>
  <c r="E136"/>
  <c r="B128"/>
  <c r="C128"/>
  <c r="D128"/>
  <c r="E128"/>
  <c r="B123"/>
  <c r="C123"/>
  <c r="D123"/>
  <c r="E123"/>
  <c r="B124"/>
  <c r="C124"/>
  <c r="D124"/>
  <c r="E124"/>
  <c r="B125"/>
  <c r="C125"/>
  <c r="D125"/>
  <c r="E125"/>
  <c r="B126"/>
  <c r="C126"/>
  <c r="D126"/>
  <c r="E126"/>
  <c r="C111"/>
  <c r="D111"/>
  <c r="E111"/>
  <c r="C113"/>
  <c r="D113"/>
  <c r="E113"/>
  <c r="C114"/>
  <c r="D114"/>
  <c r="E114"/>
  <c r="C115"/>
  <c r="D115"/>
  <c r="E115"/>
  <c r="C116"/>
  <c r="D116"/>
  <c r="E116"/>
  <c r="C117"/>
  <c r="D117"/>
  <c r="E117"/>
  <c r="C118"/>
  <c r="D118"/>
  <c r="E118"/>
  <c r="C119"/>
  <c r="D119"/>
  <c r="E119"/>
  <c r="C120"/>
  <c r="D120"/>
  <c r="E120"/>
  <c r="C121"/>
  <c r="D121"/>
  <c r="E121"/>
  <c r="B113"/>
  <c r="B114"/>
  <c r="B115"/>
  <c r="B116"/>
  <c r="B117"/>
  <c r="B118"/>
  <c r="B119"/>
  <c r="B120"/>
  <c r="B121"/>
  <c r="B111"/>
  <c r="C87"/>
  <c r="D87"/>
  <c r="E87"/>
  <c r="F87"/>
  <c r="G87"/>
  <c r="H87"/>
  <c r="C88"/>
  <c r="D88"/>
  <c r="E88"/>
  <c r="F88"/>
  <c r="G88"/>
  <c r="H88"/>
  <c r="C89"/>
  <c r="D89"/>
  <c r="E89"/>
  <c r="F89"/>
  <c r="G89"/>
  <c r="H89"/>
  <c r="C90"/>
  <c r="D90"/>
  <c r="E90"/>
  <c r="F90"/>
  <c r="G90"/>
  <c r="H90"/>
  <c r="B88"/>
  <c r="B89"/>
  <c r="B90"/>
  <c r="B87"/>
  <c r="C76"/>
  <c r="D76"/>
  <c r="E76"/>
  <c r="F76"/>
  <c r="G76"/>
  <c r="H76"/>
  <c r="C77"/>
  <c r="D77"/>
  <c r="E77"/>
  <c r="F77"/>
  <c r="G77"/>
  <c r="H77"/>
  <c r="C78"/>
  <c r="D78"/>
  <c r="E78"/>
  <c r="F78"/>
  <c r="G78"/>
  <c r="H78"/>
  <c r="C79"/>
  <c r="D79"/>
  <c r="E79"/>
  <c r="F79"/>
  <c r="G79"/>
  <c r="H79"/>
  <c r="C80"/>
  <c r="D80"/>
  <c r="E80"/>
  <c r="F80"/>
  <c r="G80"/>
  <c r="H80"/>
  <c r="C82"/>
  <c r="D82"/>
  <c r="E82"/>
  <c r="F82"/>
  <c r="G82"/>
  <c r="H82"/>
  <c r="C83"/>
  <c r="D83"/>
  <c r="E83"/>
  <c r="F83"/>
  <c r="G83"/>
  <c r="H83"/>
  <c r="C85"/>
  <c r="D85"/>
  <c r="E85"/>
  <c r="F85"/>
  <c r="G85"/>
  <c r="H85"/>
  <c r="B77"/>
  <c r="B78"/>
  <c r="B79"/>
  <c r="B80"/>
  <c r="B82"/>
  <c r="B83"/>
  <c r="B85"/>
  <c r="B76"/>
  <c r="C69"/>
  <c r="D69"/>
  <c r="E69"/>
  <c r="F69"/>
  <c r="G69"/>
  <c r="H69"/>
  <c r="C70"/>
  <c r="D70"/>
  <c r="E70"/>
  <c r="F70"/>
  <c r="G70"/>
  <c r="H70"/>
  <c r="C71"/>
  <c r="D71"/>
  <c r="E71"/>
  <c r="F71"/>
  <c r="G71"/>
  <c r="H71"/>
  <c r="C72"/>
  <c r="D72"/>
  <c r="E72"/>
  <c r="F72"/>
  <c r="G72"/>
  <c r="H72"/>
  <c r="C73"/>
  <c r="D73"/>
  <c r="E73"/>
  <c r="F73"/>
  <c r="G73"/>
  <c r="H73"/>
  <c r="C74"/>
  <c r="D74"/>
  <c r="E74"/>
  <c r="F74"/>
  <c r="G74"/>
  <c r="H74"/>
  <c r="B70"/>
  <c r="B71"/>
  <c r="B72"/>
  <c r="B73"/>
  <c r="B74"/>
  <c r="B69"/>
  <c r="C61"/>
  <c r="D61"/>
  <c r="E61"/>
  <c r="F61"/>
  <c r="G61"/>
  <c r="H61"/>
  <c r="C63"/>
  <c r="D63"/>
  <c r="E63"/>
  <c r="F63"/>
  <c r="G63"/>
  <c r="H63"/>
  <c r="C64"/>
  <c r="D64"/>
  <c r="E64"/>
  <c r="F64"/>
  <c r="G64"/>
  <c r="H64"/>
  <c r="C65"/>
  <c r="D65"/>
  <c r="E65"/>
  <c r="F65"/>
  <c r="G65"/>
  <c r="H65"/>
  <c r="C66"/>
  <c r="D66"/>
  <c r="E66"/>
  <c r="F66"/>
  <c r="G66"/>
  <c r="H66"/>
  <c r="C67"/>
  <c r="D67"/>
  <c r="E67"/>
  <c r="F67"/>
  <c r="G67"/>
  <c r="H67"/>
  <c r="B63"/>
  <c r="B64"/>
  <c r="B65"/>
  <c r="B66"/>
  <c r="B67"/>
  <c r="B61"/>
  <c r="C41"/>
  <c r="D41"/>
  <c r="E41"/>
  <c r="G41"/>
  <c r="C42"/>
  <c r="D42"/>
  <c r="E42"/>
  <c r="G42"/>
  <c r="C43"/>
  <c r="D43"/>
  <c r="E43"/>
  <c r="G43"/>
  <c r="C44"/>
  <c r="D44"/>
  <c r="E44"/>
  <c r="G44"/>
  <c r="B42"/>
  <c r="B43"/>
  <c r="B44"/>
  <c r="B41"/>
  <c r="C30"/>
  <c r="D30"/>
  <c r="E30"/>
  <c r="G30"/>
  <c r="C31"/>
  <c r="D31"/>
  <c r="E31"/>
  <c r="G31"/>
  <c r="C32"/>
  <c r="D32"/>
  <c r="E32"/>
  <c r="G32"/>
  <c r="C33"/>
  <c r="D33"/>
  <c r="E33"/>
  <c r="G33"/>
  <c r="C34"/>
  <c r="D34"/>
  <c r="E34"/>
  <c r="G34"/>
  <c r="C36"/>
  <c r="D36"/>
  <c r="E36"/>
  <c r="G36"/>
  <c r="C39"/>
  <c r="D39"/>
  <c r="E39"/>
  <c r="B31"/>
  <c r="B32"/>
  <c r="B33"/>
  <c r="B34"/>
  <c r="B36"/>
  <c r="B39"/>
  <c r="B30"/>
  <c r="B24"/>
  <c r="C24"/>
  <c r="D24"/>
  <c r="E24"/>
  <c r="G24"/>
  <c r="B25"/>
  <c r="C25"/>
  <c r="D25"/>
  <c r="E25"/>
  <c r="G25"/>
  <c r="B26"/>
  <c r="C26"/>
  <c r="D26"/>
  <c r="E26"/>
  <c r="G26"/>
  <c r="B27"/>
  <c r="C27"/>
  <c r="D27"/>
  <c r="E27"/>
  <c r="G27"/>
  <c r="B28"/>
  <c r="C28"/>
  <c r="D28"/>
  <c r="E28"/>
  <c r="G28"/>
  <c r="C23"/>
  <c r="D23"/>
  <c r="E23"/>
  <c r="G23"/>
  <c r="B23"/>
  <c r="A41"/>
  <c r="A30"/>
  <c r="A24"/>
  <c r="A23"/>
  <c r="A45"/>
  <c r="A207" s="1"/>
  <c r="A40"/>
  <c r="A29"/>
  <c r="A22"/>
  <c r="A192" s="1"/>
  <c r="A21"/>
  <c r="B17"/>
  <c r="C17"/>
  <c r="D17"/>
  <c r="E17"/>
  <c r="G17"/>
  <c r="B18"/>
  <c r="C18"/>
  <c r="D18"/>
  <c r="E18"/>
  <c r="G18"/>
  <c r="B19"/>
  <c r="C19"/>
  <c r="D19"/>
  <c r="E19"/>
  <c r="G19"/>
  <c r="B20"/>
  <c r="C20"/>
  <c r="D20"/>
  <c r="E20"/>
  <c r="G20"/>
  <c r="B21"/>
  <c r="C21"/>
  <c r="D21"/>
  <c r="E21"/>
  <c r="G21"/>
  <c r="C15"/>
  <c r="D15"/>
  <c r="E15"/>
  <c r="G15"/>
  <c r="B15"/>
  <c r="A15"/>
  <c r="A186"/>
  <c r="J48" i="14"/>
  <c r="H48"/>
  <c r="F48"/>
  <c r="D48"/>
  <c r="B48"/>
  <c r="A48"/>
  <c r="A45"/>
  <c r="A205" i="4" s="1"/>
  <c r="T40" i="14"/>
  <c r="S40"/>
  <c r="R40"/>
  <c r="Q40"/>
  <c r="P40"/>
  <c r="O40"/>
  <c r="N40"/>
  <c r="M40"/>
  <c r="L40"/>
  <c r="K40"/>
  <c r="I40"/>
  <c r="H40"/>
  <c r="G40"/>
  <c r="F40"/>
  <c r="E40"/>
  <c r="D40"/>
  <c r="C40"/>
  <c r="B40"/>
  <c r="A40"/>
  <c r="A175" i="4" s="1"/>
  <c r="U39" i="14"/>
  <c r="I47" s="1"/>
  <c r="I206" i="4" s="1"/>
  <c r="U37" i="14"/>
  <c r="A37"/>
  <c r="A173" i="4" s="1"/>
  <c r="A33" i="14"/>
  <c r="E31"/>
  <c r="D31"/>
  <c r="C31"/>
  <c r="A31"/>
  <c r="A143" i="4" s="1"/>
  <c r="A27" i="14"/>
  <c r="A139" i="4" s="1"/>
  <c r="A26" i="14"/>
  <c r="A138" i="4" s="1"/>
  <c r="A22" i="14"/>
  <c r="H21"/>
  <c r="G21"/>
  <c r="F21"/>
  <c r="E21"/>
  <c r="D21"/>
  <c r="C21"/>
  <c r="A21"/>
  <c r="A91" i="4" s="1"/>
  <c r="I20" i="14"/>
  <c r="I90" i="4" s="1"/>
  <c r="I19" i="14"/>
  <c r="I89" i="4" s="1"/>
  <c r="I18" i="14"/>
  <c r="I88" i="4" s="1"/>
  <c r="I16" i="14"/>
  <c r="A16"/>
  <c r="A87" i="4" s="1"/>
  <c r="A12" i="14"/>
  <c r="G10"/>
  <c r="E10"/>
  <c r="D10"/>
  <c r="C10"/>
  <c r="H9"/>
  <c r="H44" i="4" s="1"/>
  <c r="F9" i="14"/>
  <c r="F44" i="4" s="1"/>
  <c r="H8" i="14"/>
  <c r="H43" i="4" s="1"/>
  <c r="F8" i="14"/>
  <c r="F43" i="4" s="1"/>
  <c r="H7" i="14"/>
  <c r="H42" i="4" s="1"/>
  <c r="F7" i="14"/>
  <c r="F42" i="4" s="1"/>
  <c r="H5" i="14"/>
  <c r="J66" i="8"/>
  <c r="H66"/>
  <c r="F66"/>
  <c r="D66"/>
  <c r="B66"/>
  <c r="A66"/>
  <c r="A61"/>
  <c r="A199" i="4" s="1"/>
  <c r="A57" i="8"/>
  <c r="T56"/>
  <c r="S56"/>
  <c r="R56"/>
  <c r="Q56"/>
  <c r="P56"/>
  <c r="O56"/>
  <c r="N56"/>
  <c r="M56"/>
  <c r="L56"/>
  <c r="K56"/>
  <c r="J56"/>
  <c r="I56"/>
  <c r="H56"/>
  <c r="G56"/>
  <c r="F56"/>
  <c r="E56"/>
  <c r="D56"/>
  <c r="C56"/>
  <c r="B56"/>
  <c r="A56"/>
  <c r="A172" i="4" s="1"/>
  <c r="U55" i="8"/>
  <c r="G65" s="1"/>
  <c r="G203" i="4" s="1"/>
  <c r="U54" i="8"/>
  <c r="I64" s="1"/>
  <c r="I202" i="4" s="1"/>
  <c r="U53" i="8"/>
  <c r="G63" s="1"/>
  <c r="G201" i="4" s="1"/>
  <c r="U52" i="8"/>
  <c r="I62" s="1"/>
  <c r="I200" i="4" s="1"/>
  <c r="U51" i="8"/>
  <c r="G61" s="1"/>
  <c r="A51"/>
  <c r="A167" i="4" s="1"/>
  <c r="A47" i="8"/>
  <c r="E45"/>
  <c r="D45"/>
  <c r="C45"/>
  <c r="A45"/>
  <c r="A137" i="4" s="1"/>
  <c r="A204" s="1"/>
  <c r="A37" i="8"/>
  <c r="A129" i="4" s="1"/>
  <c r="A36" i="8"/>
  <c r="A128" i="4" s="1"/>
  <c r="A32" i="8"/>
  <c r="H31"/>
  <c r="G31"/>
  <c r="F31"/>
  <c r="E31"/>
  <c r="D31"/>
  <c r="C31"/>
  <c r="A31"/>
  <c r="A86" i="4" s="1"/>
  <c r="I30" i="8"/>
  <c r="I85" i="4" s="1"/>
  <c r="I28" i="8"/>
  <c r="I83" i="4" s="1"/>
  <c r="I27" i="8"/>
  <c r="I82" i="4" s="1"/>
  <c r="I25" i="8"/>
  <c r="I80" i="4" s="1"/>
  <c r="I24" i="8"/>
  <c r="I79" i="4" s="1"/>
  <c r="I23" i="8"/>
  <c r="I78" i="4" s="1"/>
  <c r="I22" i="8"/>
  <c r="I77" i="4" s="1"/>
  <c r="I21" i="8"/>
  <c r="A21"/>
  <c r="A76" i="4" s="1"/>
  <c r="G15" i="8"/>
  <c r="E15"/>
  <c r="D15"/>
  <c r="C15"/>
  <c r="H14"/>
  <c r="F14"/>
  <c r="F38" i="4" s="1"/>
  <c r="H13" i="8"/>
  <c r="F13"/>
  <c r="F37" i="4" s="1"/>
  <c r="H11" i="8"/>
  <c r="H36" i="4" s="1"/>
  <c r="F11" i="8"/>
  <c r="F36" i="4" s="1"/>
  <c r="H9" i="8"/>
  <c r="H34" i="4" s="1"/>
  <c r="F9" i="8"/>
  <c r="F34" i="4" s="1"/>
  <c r="H8" i="8"/>
  <c r="H33" i="4" s="1"/>
  <c r="F8" i="8"/>
  <c r="F33" i="4" s="1"/>
  <c r="H7" i="8"/>
  <c r="H32" i="4" s="1"/>
  <c r="F7" i="8"/>
  <c r="F32" i="4" s="1"/>
  <c r="H6" i="8"/>
  <c r="H31" i="4" s="1"/>
  <c r="F6" i="8"/>
  <c r="F31" i="4" s="1"/>
  <c r="H5" i="8"/>
  <c r="F5"/>
  <c r="J55" i="10"/>
  <c r="H55"/>
  <c r="F55"/>
  <c r="D55"/>
  <c r="B55"/>
  <c r="A55"/>
  <c r="A50"/>
  <c r="A193" i="4" s="1"/>
  <c r="A46" i="10"/>
  <c r="T45"/>
  <c r="S45"/>
  <c r="R45"/>
  <c r="Q45"/>
  <c r="P45"/>
  <c r="O45"/>
  <c r="N45"/>
  <c r="M45"/>
  <c r="L45"/>
  <c r="K45"/>
  <c r="J45"/>
  <c r="I45"/>
  <c r="H45"/>
  <c r="G45"/>
  <c r="F45"/>
  <c r="E45"/>
  <c r="D45"/>
  <c r="C45"/>
  <c r="B45"/>
  <c r="A45"/>
  <c r="A166" i="4" s="1"/>
  <c r="U44" i="10"/>
  <c r="G54" s="1"/>
  <c r="G197" i="4" s="1"/>
  <c r="U43" i="10"/>
  <c r="I53" s="1"/>
  <c r="I196" i="4" s="1"/>
  <c r="U42" i="10"/>
  <c r="G52" s="1"/>
  <c r="G195" i="4" s="1"/>
  <c r="U41" i="10"/>
  <c r="I51" s="1"/>
  <c r="I194" i="4" s="1"/>
  <c r="U40" i="10"/>
  <c r="G50" s="1"/>
  <c r="A40"/>
  <c r="A161" i="4" s="1"/>
  <c r="A36" i="10"/>
  <c r="E34"/>
  <c r="D34"/>
  <c r="C34"/>
  <c r="A34"/>
  <c r="A127" i="4" s="1"/>
  <c r="A28" i="10"/>
  <c r="A123" i="4" s="1"/>
  <c r="A24" i="10"/>
  <c r="H23"/>
  <c r="G23"/>
  <c r="F23"/>
  <c r="E23"/>
  <c r="D23"/>
  <c r="C23"/>
  <c r="A23"/>
  <c r="A75" i="4" s="1"/>
  <c r="A198" s="1"/>
  <c r="I22" i="10"/>
  <c r="I74" i="4" s="1"/>
  <c r="I21" i="10"/>
  <c r="I73" i="4" s="1"/>
  <c r="I20" i="10"/>
  <c r="I72" i="4" s="1"/>
  <c r="I19" i="10"/>
  <c r="I71" i="4" s="1"/>
  <c r="I18" i="10"/>
  <c r="I70" i="4" s="1"/>
  <c r="I17" i="10"/>
  <c r="A17"/>
  <c r="A69" i="4" s="1"/>
  <c r="A13" i="10"/>
  <c r="G11"/>
  <c r="E11"/>
  <c r="D11"/>
  <c r="C11"/>
  <c r="H10"/>
  <c r="H28" i="4" s="1"/>
  <c r="F10" i="10"/>
  <c r="F28" i="4" s="1"/>
  <c r="H9" i="10"/>
  <c r="H27" i="4" s="1"/>
  <c r="F9" i="10"/>
  <c r="F27" i="4" s="1"/>
  <c r="H8" i="10"/>
  <c r="H26" i="4" s="1"/>
  <c r="F8" i="10"/>
  <c r="F26" i="4" s="1"/>
  <c r="H7" i="10"/>
  <c r="H25" i="4" s="1"/>
  <c r="F7" i="10"/>
  <c r="F25" i="4" s="1"/>
  <c r="H6" i="10"/>
  <c r="H24" i="4" s="1"/>
  <c r="F6" i="10"/>
  <c r="F24" i="4" s="1"/>
  <c r="H5" i="10"/>
  <c r="F5"/>
  <c r="J63" i="12"/>
  <c r="H63"/>
  <c r="F63"/>
  <c r="D63"/>
  <c r="B63"/>
  <c r="A63"/>
  <c r="A58"/>
  <c r="A187" i="4" s="1"/>
  <c r="A54" i="12"/>
  <c r="T53"/>
  <c r="S53"/>
  <c r="R53"/>
  <c r="Q53"/>
  <c r="P53"/>
  <c r="O53"/>
  <c r="N53"/>
  <c r="M53"/>
  <c r="L53"/>
  <c r="K53"/>
  <c r="J53"/>
  <c r="I53"/>
  <c r="H53"/>
  <c r="G53"/>
  <c r="F53"/>
  <c r="E53"/>
  <c r="D53"/>
  <c r="C53"/>
  <c r="B53"/>
  <c r="A53"/>
  <c r="A160" i="4" s="1"/>
  <c r="U52" i="12"/>
  <c r="G62" s="1"/>
  <c r="G191" i="4" s="1"/>
  <c r="U51" i="12"/>
  <c r="I61" s="1"/>
  <c r="I190" i="4" s="1"/>
  <c r="U50" i="12"/>
  <c r="G60" s="1"/>
  <c r="G189" i="4" s="1"/>
  <c r="U49" i="12"/>
  <c r="I59" s="1"/>
  <c r="I188" i="4" s="1"/>
  <c r="U48" i="12"/>
  <c r="G58" s="1"/>
  <c r="A48"/>
  <c r="A155" i="4" s="1"/>
  <c r="A44" i="12"/>
  <c r="E42"/>
  <c r="D42"/>
  <c r="C42"/>
  <c r="A42"/>
  <c r="A122" i="4" s="1"/>
  <c r="A30" i="12"/>
  <c r="A111" i="4" s="1"/>
  <c r="A26" i="12"/>
  <c r="H25"/>
  <c r="G25"/>
  <c r="F25"/>
  <c r="E25"/>
  <c r="D25"/>
  <c r="C25"/>
  <c r="A25"/>
  <c r="A68" i="4" s="1"/>
  <c r="I24" i="12"/>
  <c r="I67" i="4" s="1"/>
  <c r="I23" i="12"/>
  <c r="I66" i="4" s="1"/>
  <c r="I65"/>
  <c r="I21" i="12"/>
  <c r="I64" i="4" s="1"/>
  <c r="I20" i="12"/>
  <c r="I63" i="4" s="1"/>
  <c r="I18" i="12"/>
  <c r="I61" i="4" s="1"/>
  <c r="A18" i="12"/>
  <c r="A61" i="4" s="1"/>
  <c r="A14" i="12"/>
  <c r="G12"/>
  <c r="E12"/>
  <c r="D12"/>
  <c r="C12"/>
  <c r="H21" i="4"/>
  <c r="F21"/>
  <c r="H10" i="12"/>
  <c r="H20" i="4" s="1"/>
  <c r="F10" i="12"/>
  <c r="F20" i="4" s="1"/>
  <c r="H19"/>
  <c r="F19"/>
  <c r="H8" i="12"/>
  <c r="H18" i="4" s="1"/>
  <c r="F8" i="12"/>
  <c r="F18" i="4" s="1"/>
  <c r="H7" i="12"/>
  <c r="H17" i="4" s="1"/>
  <c r="F7" i="12"/>
  <c r="F17" i="4" s="1"/>
  <c r="J68" i="1"/>
  <c r="H68"/>
  <c r="F68"/>
  <c r="D68"/>
  <c r="B68"/>
  <c r="A68"/>
  <c r="C58"/>
  <c r="D58"/>
  <c r="E58"/>
  <c r="F58"/>
  <c r="G58"/>
  <c r="H58"/>
  <c r="I58"/>
  <c r="J58"/>
  <c r="K58"/>
  <c r="L58"/>
  <c r="M58"/>
  <c r="N58"/>
  <c r="O58"/>
  <c r="P58"/>
  <c r="Q58"/>
  <c r="R58"/>
  <c r="S58"/>
  <c r="T58"/>
  <c r="B58"/>
  <c r="A58"/>
  <c r="A154" i="4" s="1"/>
  <c r="A47" i="1"/>
  <c r="A110" i="4" s="1"/>
  <c r="A29" i="1"/>
  <c r="A60" i="4" s="1"/>
  <c r="F13" i="1"/>
  <c r="G14"/>
  <c r="G14" i="4" s="1"/>
  <c r="D14" i="1"/>
  <c r="E14"/>
  <c r="E14" i="4" s="1"/>
  <c r="C14" i="1"/>
  <c r="C14" i="4" s="1"/>
  <c r="D47" i="1"/>
  <c r="E47"/>
  <c r="C47"/>
  <c r="H29"/>
  <c r="G29"/>
  <c r="F29"/>
  <c r="E29"/>
  <c r="D29"/>
  <c r="C29"/>
  <c r="B182" i="4"/>
  <c r="D182"/>
  <c r="F182"/>
  <c r="H182"/>
  <c r="J182"/>
  <c r="B183"/>
  <c r="D183"/>
  <c r="F183"/>
  <c r="H183"/>
  <c r="J183"/>
  <c r="B184"/>
  <c r="D184"/>
  <c r="F184"/>
  <c r="H184"/>
  <c r="J184"/>
  <c r="B185"/>
  <c r="D185"/>
  <c r="F185"/>
  <c r="H185"/>
  <c r="J185"/>
  <c r="J181"/>
  <c r="H181"/>
  <c r="F181"/>
  <c r="D181"/>
  <c r="B181"/>
  <c r="T149"/>
  <c r="C149"/>
  <c r="D149"/>
  <c r="E149"/>
  <c r="F149"/>
  <c r="G149"/>
  <c r="H149"/>
  <c r="I149"/>
  <c r="J149"/>
  <c r="K149"/>
  <c r="L149"/>
  <c r="M149"/>
  <c r="N149"/>
  <c r="O149"/>
  <c r="P149"/>
  <c r="Q149"/>
  <c r="R149"/>
  <c r="S149"/>
  <c r="C150"/>
  <c r="D150"/>
  <c r="E150"/>
  <c r="F150"/>
  <c r="G150"/>
  <c r="H150"/>
  <c r="I150"/>
  <c r="J150"/>
  <c r="K150"/>
  <c r="L150"/>
  <c r="M150"/>
  <c r="N150"/>
  <c r="O150"/>
  <c r="P150"/>
  <c r="Q150"/>
  <c r="R150"/>
  <c r="S150"/>
  <c r="T150"/>
  <c r="C151"/>
  <c r="D151"/>
  <c r="E151"/>
  <c r="F151"/>
  <c r="G151"/>
  <c r="H151"/>
  <c r="I151"/>
  <c r="J151"/>
  <c r="K151"/>
  <c r="L151"/>
  <c r="M151"/>
  <c r="N151"/>
  <c r="O151"/>
  <c r="P151"/>
  <c r="Q151"/>
  <c r="R151"/>
  <c r="S151"/>
  <c r="T151"/>
  <c r="C152"/>
  <c r="D152"/>
  <c r="E152"/>
  <c r="F152"/>
  <c r="G152"/>
  <c r="H152"/>
  <c r="I152"/>
  <c r="J152"/>
  <c r="K152"/>
  <c r="L152"/>
  <c r="M152"/>
  <c r="N152"/>
  <c r="O152"/>
  <c r="P152"/>
  <c r="Q152"/>
  <c r="R152"/>
  <c r="S152"/>
  <c r="T152"/>
  <c r="C153"/>
  <c r="D153"/>
  <c r="E153"/>
  <c r="F153"/>
  <c r="G153"/>
  <c r="H153"/>
  <c r="I153"/>
  <c r="J153"/>
  <c r="K153"/>
  <c r="L153"/>
  <c r="M153"/>
  <c r="N153"/>
  <c r="O153"/>
  <c r="P153"/>
  <c r="Q153"/>
  <c r="R153"/>
  <c r="S153"/>
  <c r="T153"/>
  <c r="B150"/>
  <c r="B151"/>
  <c r="B152"/>
  <c r="B153"/>
  <c r="B149"/>
  <c r="B98"/>
  <c r="C98"/>
  <c r="D98"/>
  <c r="E98"/>
  <c r="B99"/>
  <c r="C99"/>
  <c r="D99"/>
  <c r="E99"/>
  <c r="B100"/>
  <c r="C100"/>
  <c r="D100"/>
  <c r="E100"/>
  <c r="B101"/>
  <c r="C101"/>
  <c r="D101"/>
  <c r="E101"/>
  <c r="B102"/>
  <c r="C102"/>
  <c r="D102"/>
  <c r="E102"/>
  <c r="B103"/>
  <c r="C103"/>
  <c r="D103"/>
  <c r="E103"/>
  <c r="B104"/>
  <c r="C104"/>
  <c r="D104"/>
  <c r="E104"/>
  <c r="B105"/>
  <c r="C105"/>
  <c r="D105"/>
  <c r="E105"/>
  <c r="B106"/>
  <c r="C106"/>
  <c r="D106"/>
  <c r="E106"/>
  <c r="B107"/>
  <c r="C107"/>
  <c r="D107"/>
  <c r="E107"/>
  <c r="B108"/>
  <c r="C108"/>
  <c r="D108"/>
  <c r="E108"/>
  <c r="B109"/>
  <c r="C109"/>
  <c r="D109"/>
  <c r="E109"/>
  <c r="C97"/>
  <c r="D97"/>
  <c r="E97"/>
  <c r="B97"/>
  <c r="A93"/>
  <c r="B59"/>
  <c r="B52"/>
  <c r="C52"/>
  <c r="D52"/>
  <c r="E52"/>
  <c r="F52"/>
  <c r="G52"/>
  <c r="H52"/>
  <c r="B53"/>
  <c r="C53"/>
  <c r="D53"/>
  <c r="E53"/>
  <c r="F53"/>
  <c r="G53"/>
  <c r="H53"/>
  <c r="B54"/>
  <c r="C54"/>
  <c r="D54"/>
  <c r="E54"/>
  <c r="F54"/>
  <c r="G54"/>
  <c r="H54"/>
  <c r="B55"/>
  <c r="C55"/>
  <c r="D55"/>
  <c r="E55"/>
  <c r="F55"/>
  <c r="G55"/>
  <c r="H55"/>
  <c r="B56"/>
  <c r="C56"/>
  <c r="D56"/>
  <c r="E56"/>
  <c r="F56"/>
  <c r="G56"/>
  <c r="H56"/>
  <c r="B57"/>
  <c r="C57"/>
  <c r="D57"/>
  <c r="E57"/>
  <c r="F57"/>
  <c r="G57"/>
  <c r="H57"/>
  <c r="B58"/>
  <c r="C58"/>
  <c r="D58"/>
  <c r="E58"/>
  <c r="F58"/>
  <c r="G58"/>
  <c r="H58"/>
  <c r="C59"/>
  <c r="D59"/>
  <c r="E59"/>
  <c r="F59"/>
  <c r="G59"/>
  <c r="H59"/>
  <c r="C51"/>
  <c r="D51"/>
  <c r="E51"/>
  <c r="F51"/>
  <c r="G51"/>
  <c r="H51"/>
  <c r="B51"/>
  <c r="A5"/>
  <c r="B6"/>
  <c r="C6"/>
  <c r="D6"/>
  <c r="E6"/>
  <c r="G6"/>
  <c r="B7"/>
  <c r="C7"/>
  <c r="D7"/>
  <c r="E7"/>
  <c r="G7"/>
  <c r="B8"/>
  <c r="C8"/>
  <c r="D8"/>
  <c r="E8"/>
  <c r="G8"/>
  <c r="B9"/>
  <c r="C9"/>
  <c r="D9"/>
  <c r="E9"/>
  <c r="G9"/>
  <c r="B10"/>
  <c r="C10"/>
  <c r="D10"/>
  <c r="E10"/>
  <c r="G10"/>
  <c r="B11"/>
  <c r="C11"/>
  <c r="D11"/>
  <c r="E11"/>
  <c r="G11"/>
  <c r="B12"/>
  <c r="C12"/>
  <c r="D12"/>
  <c r="E12"/>
  <c r="G12"/>
  <c r="B13"/>
  <c r="C13"/>
  <c r="D13"/>
  <c r="E13"/>
  <c r="G13"/>
  <c r="B14"/>
  <c r="D14"/>
  <c r="C5"/>
  <c r="D5"/>
  <c r="E5"/>
  <c r="G5"/>
  <c r="B5"/>
  <c r="A145"/>
  <c r="A47"/>
  <c r="I20" i="1"/>
  <c r="I28"/>
  <c r="I59" i="4" s="1"/>
  <c r="I26" i="1"/>
  <c r="I57" i="4" s="1"/>
  <c r="I24" i="1"/>
  <c r="I55" i="4" s="1"/>
  <c r="I21" i="1"/>
  <c r="I52" i="4" s="1"/>
  <c r="A6" i="1"/>
  <c r="A6" i="4" s="1"/>
  <c r="H13" i="1"/>
  <c r="H11"/>
  <c r="F9"/>
  <c r="H9"/>
  <c r="F6"/>
  <c r="F6" i="4" s="1"/>
  <c r="H6" i="1"/>
  <c r="H6" i="4" s="1"/>
  <c r="A49" i="1"/>
  <c r="A30"/>
  <c r="A16"/>
  <c r="A35"/>
  <c r="A98" i="4" s="1"/>
  <c r="U54" i="1"/>
  <c r="G182" i="4" s="1"/>
  <c r="U55" i="1"/>
  <c r="I65" s="1"/>
  <c r="I183" i="4" s="1"/>
  <c r="U56" i="1"/>
  <c r="G66" s="1"/>
  <c r="G184" i="4" s="1"/>
  <c r="U57" i="1"/>
  <c r="I67" s="1"/>
  <c r="I185" i="4" s="1"/>
  <c r="U53" i="1"/>
  <c r="I63" s="1"/>
  <c r="A63"/>
  <c r="A181" i="4" s="1"/>
  <c r="A53" i="1"/>
  <c r="A149" i="4" s="1"/>
  <c r="A34" i="1"/>
  <c r="A97" i="4" s="1"/>
  <c r="I27" i="1"/>
  <c r="I58" i="4" s="1"/>
  <c r="I22" i="1"/>
  <c r="I53" i="4" s="1"/>
  <c r="I23" i="1"/>
  <c r="I54" i="4" s="1"/>
  <c r="I25" i="1"/>
  <c r="I56" i="4" s="1"/>
  <c r="H7" i="1"/>
  <c r="H7" i="4" s="1"/>
  <c r="H8" i="1"/>
  <c r="H10"/>
  <c r="H11" i="4" s="1"/>
  <c r="H12" i="1"/>
  <c r="H13" i="4" s="1"/>
  <c r="H5" i="1"/>
  <c r="H5" i="4" s="1"/>
  <c r="F7" i="1"/>
  <c r="F7" i="4" s="1"/>
  <c r="F8" i="1"/>
  <c r="F10"/>
  <c r="F12"/>
  <c r="F5"/>
  <c r="F5" i="4" s="1"/>
  <c r="A7" i="1"/>
  <c r="A22" s="1"/>
  <c r="A32" i="4" l="1"/>
  <c r="A13" i="8"/>
  <c r="G45" i="14"/>
  <c r="E45"/>
  <c r="F9" i="4"/>
  <c r="F39"/>
  <c r="A51" i="10"/>
  <c r="A194" i="4" s="1"/>
  <c r="A18" i="14"/>
  <c r="A88" i="4" s="1"/>
  <c r="A17"/>
  <c r="F11"/>
  <c r="H10"/>
  <c r="F10"/>
  <c r="H9"/>
  <c r="H8"/>
  <c r="H12"/>
  <c r="F13"/>
  <c r="F8"/>
  <c r="F12"/>
  <c r="J198"/>
  <c r="G45"/>
  <c r="A43"/>
  <c r="F10" i="14"/>
  <c r="A31" i="4"/>
  <c r="F15" i="8"/>
  <c r="D45" i="4"/>
  <c r="D40"/>
  <c r="J166"/>
  <c r="R166"/>
  <c r="F166"/>
  <c r="P166"/>
  <c r="H166"/>
  <c r="M172"/>
  <c r="N166"/>
  <c r="T166"/>
  <c r="L166"/>
  <c r="D166"/>
  <c r="B207"/>
  <c r="D160"/>
  <c r="I160"/>
  <c r="F12" i="12"/>
  <c r="D29" i="4"/>
  <c r="F11" i="10"/>
  <c r="A21" i="1"/>
  <c r="A52" i="4" s="1"/>
  <c r="U149"/>
  <c r="U152"/>
  <c r="U150"/>
  <c r="U159"/>
  <c r="U157"/>
  <c r="U161"/>
  <c r="U164"/>
  <c r="U162"/>
  <c r="U171"/>
  <c r="U169"/>
  <c r="U173"/>
  <c r="U174"/>
  <c r="U153"/>
  <c r="U151"/>
  <c r="U155"/>
  <c r="U158"/>
  <c r="U156"/>
  <c r="U165"/>
  <c r="U163"/>
  <c r="U167"/>
  <c r="U170"/>
  <c r="U168"/>
  <c r="B175"/>
  <c r="A58"/>
  <c r="A51"/>
  <c r="Q160"/>
  <c r="E172"/>
  <c r="M160"/>
  <c r="E160"/>
  <c r="C160"/>
  <c r="Q172"/>
  <c r="I172"/>
  <c r="B160"/>
  <c r="B172"/>
  <c r="S160"/>
  <c r="O160"/>
  <c r="K160"/>
  <c r="G160"/>
  <c r="S172"/>
  <c r="O172"/>
  <c r="K172"/>
  <c r="G172"/>
  <c r="C172"/>
  <c r="B29"/>
  <c r="G29"/>
  <c r="G40"/>
  <c r="D186"/>
  <c r="H12" i="12"/>
  <c r="H11" i="10"/>
  <c r="H15" i="8"/>
  <c r="H10" i="14"/>
  <c r="G22" i="4"/>
  <c r="D22"/>
  <c r="E29"/>
  <c r="C29"/>
  <c r="E40"/>
  <c r="C40"/>
  <c r="C45"/>
  <c r="E45"/>
  <c r="I23" i="10"/>
  <c r="I21" i="14"/>
  <c r="B22" i="4"/>
  <c r="E22"/>
  <c r="C22"/>
  <c r="B40"/>
  <c r="B45"/>
  <c r="E58" i="12"/>
  <c r="C59"/>
  <c r="C188" i="4" s="1"/>
  <c r="E60" i="12"/>
  <c r="E189" i="4" s="1"/>
  <c r="C61" i="12"/>
  <c r="C190" i="4" s="1"/>
  <c r="E62" i="12"/>
  <c r="E191" i="4" s="1"/>
  <c r="I31" i="8"/>
  <c r="H30" i="4"/>
  <c r="H41"/>
  <c r="H45" s="1"/>
  <c r="I69"/>
  <c r="I75" s="1"/>
  <c r="I76"/>
  <c r="I86" s="1"/>
  <c r="I87"/>
  <c r="I91" s="1"/>
  <c r="E175"/>
  <c r="G187"/>
  <c r="G193"/>
  <c r="G199"/>
  <c r="G205"/>
  <c r="I25" i="12"/>
  <c r="U53"/>
  <c r="I58"/>
  <c r="G59"/>
  <c r="G188" i="4" s="1"/>
  <c r="I60" i="12"/>
  <c r="I189" i="4" s="1"/>
  <c r="G61" i="12"/>
  <c r="G190" i="4" s="1"/>
  <c r="I62" i="12"/>
  <c r="I191" i="4" s="1"/>
  <c r="H15"/>
  <c r="H22" s="1"/>
  <c r="F22"/>
  <c r="H23"/>
  <c r="H29" s="1"/>
  <c r="F23"/>
  <c r="F29" s="1"/>
  <c r="F30"/>
  <c r="F41"/>
  <c r="F45" s="1"/>
  <c r="A30" i="14"/>
  <c r="A142" i="4" s="1"/>
  <c r="A39" i="14"/>
  <c r="A174" i="4" s="1"/>
  <c r="U40" i="14"/>
  <c r="I45"/>
  <c r="C47"/>
  <c r="C206" i="4" s="1"/>
  <c r="G47" i="14"/>
  <c r="G206" i="4" s="1"/>
  <c r="A19" i="14"/>
  <c r="A89" i="4" s="1"/>
  <c r="A29" i="14"/>
  <c r="A141" i="4" s="1"/>
  <c r="C45" i="14"/>
  <c r="E47"/>
  <c r="E206" i="4" s="1"/>
  <c r="A39" i="8"/>
  <c r="A131" i="4" s="1"/>
  <c r="A52" i="8"/>
  <c r="A168" i="4" s="1"/>
  <c r="U56" i="8"/>
  <c r="E61"/>
  <c r="I61"/>
  <c r="C62"/>
  <c r="C200" i="4" s="1"/>
  <c r="G62" i="8"/>
  <c r="G200" i="4" s="1"/>
  <c r="E63" i="8"/>
  <c r="E201" i="4" s="1"/>
  <c r="I63" i="8"/>
  <c r="I201" i="4" s="1"/>
  <c r="C64" i="8"/>
  <c r="C202" i="4" s="1"/>
  <c r="G64" i="8"/>
  <c r="G202" i="4" s="1"/>
  <c r="E65" i="8"/>
  <c r="E203" i="4" s="1"/>
  <c r="I65" i="8"/>
  <c r="I203" i="4" s="1"/>
  <c r="A22" i="8"/>
  <c r="A77" i="4" s="1"/>
  <c r="A38" i="8"/>
  <c r="A130" i="4" s="1"/>
  <c r="A40" i="8"/>
  <c r="A132" i="4" s="1"/>
  <c r="C61" i="8"/>
  <c r="E62"/>
  <c r="E200" i="4" s="1"/>
  <c r="C63" i="8"/>
  <c r="C201" i="4" s="1"/>
  <c r="E64" i="8"/>
  <c r="E202" i="4" s="1"/>
  <c r="C65" i="8"/>
  <c r="C203" i="4" s="1"/>
  <c r="A41" i="10"/>
  <c r="A162" i="4" s="1"/>
  <c r="U45" i="10"/>
  <c r="E50"/>
  <c r="I50"/>
  <c r="C51"/>
  <c r="C194" i="4" s="1"/>
  <c r="G51" i="10"/>
  <c r="G194" i="4" s="1"/>
  <c r="E52" i="10"/>
  <c r="E195" i="4" s="1"/>
  <c r="I52" i="10"/>
  <c r="I195" i="4" s="1"/>
  <c r="C53" i="10"/>
  <c r="C196" i="4" s="1"/>
  <c r="G53" i="10"/>
  <c r="G196" i="4" s="1"/>
  <c r="E54" i="10"/>
  <c r="E197" i="4" s="1"/>
  <c r="I54" i="10"/>
  <c r="I197" i="4" s="1"/>
  <c r="A18" i="10"/>
  <c r="A70" i="4" s="1"/>
  <c r="A30" i="10"/>
  <c r="A124" i="4" s="1"/>
  <c r="C50" i="10"/>
  <c r="E51"/>
  <c r="E194" i="4" s="1"/>
  <c r="C52" i="10"/>
  <c r="C195" i="4" s="1"/>
  <c r="E53" i="10"/>
  <c r="E196" i="4" s="1"/>
  <c r="C54" i="10"/>
  <c r="C197" i="4" s="1"/>
  <c r="A33" i="12"/>
  <c r="A114" i="4" s="1"/>
  <c r="A49" i="12"/>
  <c r="A156" i="4" s="1"/>
  <c r="A20" i="12"/>
  <c r="A63" i="4" s="1"/>
  <c r="A32" i="12"/>
  <c r="A113" i="4" s="1"/>
  <c r="A34" i="12"/>
  <c r="A115" i="4" s="1"/>
  <c r="C58" i="12"/>
  <c r="E59"/>
  <c r="E188" i="4" s="1"/>
  <c r="C60" i="12"/>
  <c r="C189" i="4" s="1"/>
  <c r="E61" i="12"/>
  <c r="E190" i="4" s="1"/>
  <c r="C62" i="12"/>
  <c r="C191" i="4" s="1"/>
  <c r="H192"/>
  <c r="U58" i="1"/>
  <c r="H14"/>
  <c r="H14" i="4" s="1"/>
  <c r="F14" i="1"/>
  <c r="F14" i="4" s="1"/>
  <c r="H186"/>
  <c r="D192"/>
  <c r="F198"/>
  <c r="D204"/>
  <c r="H154"/>
  <c r="J186"/>
  <c r="F186"/>
  <c r="J192"/>
  <c r="F192"/>
  <c r="B192"/>
  <c r="H198"/>
  <c r="D198"/>
  <c r="B204"/>
  <c r="H204"/>
  <c r="F207"/>
  <c r="I29" i="1"/>
  <c r="A10" i="4"/>
  <c r="A13"/>
  <c r="A11"/>
  <c r="A9"/>
  <c r="A7"/>
  <c r="B186"/>
  <c r="B198"/>
  <c r="J204"/>
  <c r="I181"/>
  <c r="I51"/>
  <c r="I60" s="1"/>
  <c r="P154"/>
  <c r="T154"/>
  <c r="L154"/>
  <c r="S154"/>
  <c r="Q154"/>
  <c r="O154"/>
  <c r="M154"/>
  <c r="K154"/>
  <c r="S166"/>
  <c r="Q166"/>
  <c r="O166"/>
  <c r="M166"/>
  <c r="K166"/>
  <c r="I166"/>
  <c r="G166"/>
  <c r="E166"/>
  <c r="C166"/>
  <c r="T172"/>
  <c r="R172"/>
  <c r="P172"/>
  <c r="N172"/>
  <c r="L172"/>
  <c r="J172"/>
  <c r="H172"/>
  <c r="F172"/>
  <c r="D172"/>
  <c r="M175"/>
  <c r="F204"/>
  <c r="J207"/>
  <c r="D207"/>
  <c r="H207"/>
  <c r="R154"/>
  <c r="N154"/>
  <c r="J154"/>
  <c r="J160"/>
  <c r="Q175"/>
  <c r="I175"/>
  <c r="F154"/>
  <c r="F160"/>
  <c r="B166"/>
  <c r="S175"/>
  <c r="O175"/>
  <c r="K175"/>
  <c r="G175"/>
  <c r="C175"/>
  <c r="I154"/>
  <c r="G154"/>
  <c r="E154"/>
  <c r="C154"/>
  <c r="B154"/>
  <c r="D154"/>
  <c r="H160"/>
  <c r="T160"/>
  <c r="T175"/>
  <c r="R175"/>
  <c r="P175"/>
  <c r="N175"/>
  <c r="L175"/>
  <c r="J175"/>
  <c r="H175"/>
  <c r="F175"/>
  <c r="D175"/>
  <c r="L160"/>
  <c r="N160"/>
  <c r="P160"/>
  <c r="R160"/>
  <c r="G91"/>
  <c r="G75"/>
  <c r="C75"/>
  <c r="E86"/>
  <c r="E110"/>
  <c r="C110"/>
  <c r="D137"/>
  <c r="E143"/>
  <c r="C143"/>
  <c r="D86"/>
  <c r="D122"/>
  <c r="E127"/>
  <c r="C127"/>
  <c r="H60"/>
  <c r="D60"/>
  <c r="D110"/>
  <c r="E122"/>
  <c r="C122"/>
  <c r="D127"/>
  <c r="E137"/>
  <c r="C137"/>
  <c r="D143"/>
  <c r="H86"/>
  <c r="H68"/>
  <c r="F68"/>
  <c r="D68"/>
  <c r="I68"/>
  <c r="F86"/>
  <c r="E75"/>
  <c r="G86"/>
  <c r="C86"/>
  <c r="C91"/>
  <c r="C60"/>
  <c r="G68"/>
  <c r="E68"/>
  <c r="C68"/>
  <c r="E91"/>
  <c r="D91"/>
  <c r="F91"/>
  <c r="H91"/>
  <c r="D75"/>
  <c r="F75"/>
  <c r="H75"/>
  <c r="F60"/>
  <c r="G60"/>
  <c r="E60"/>
  <c r="A42" i="1"/>
  <c r="A105" i="4" s="1"/>
  <c r="A46" i="1"/>
  <c r="A109" i="4" s="1"/>
  <c r="A37" i="1"/>
  <c r="A100" i="4" s="1"/>
  <c r="A39" i="1"/>
  <c r="A102" i="4" s="1"/>
  <c r="A41" i="1"/>
  <c r="A104" i="4" s="1"/>
  <c r="A43" i="1"/>
  <c r="A106" i="4" s="1"/>
  <c r="A45" i="1"/>
  <c r="A108" i="4" s="1"/>
  <c r="C182"/>
  <c r="G63" i="1"/>
  <c r="C63"/>
  <c r="E63"/>
  <c r="E66"/>
  <c r="E184" i="4" s="1"/>
  <c r="E182"/>
  <c r="C67" i="1"/>
  <c r="C185" i="4" s="1"/>
  <c r="C65" i="1"/>
  <c r="C183" i="4" s="1"/>
  <c r="G67" i="1"/>
  <c r="G185" i="4" s="1"/>
  <c r="G65" i="1"/>
  <c r="G183" i="4" s="1"/>
  <c r="I66" i="1"/>
  <c r="I184" i="4" s="1"/>
  <c r="I182"/>
  <c r="C66" i="1"/>
  <c r="C184" i="4" s="1"/>
  <c r="E65" i="1"/>
  <c r="E183" i="4" s="1"/>
  <c r="E67" i="1"/>
  <c r="E185" i="4" s="1"/>
  <c r="A55" i="1"/>
  <c r="A151" i="4" s="1"/>
  <c r="A65" i="1"/>
  <c r="A183" i="4" s="1"/>
  <c r="A67" i="1"/>
  <c r="A185" i="4" s="1"/>
  <c r="A57" i="1"/>
  <c r="A153" i="4" s="1"/>
  <c r="A64" i="1"/>
  <c r="A182" i="4" s="1"/>
  <c r="A66" i="1"/>
  <c r="A184" i="4" s="1"/>
  <c r="A54" i="1"/>
  <c r="A150" i="4" s="1"/>
  <c r="A56" i="1"/>
  <c r="A152" i="4" s="1"/>
  <c r="A38" i="1"/>
  <c r="A101" i="4" s="1"/>
  <c r="A44" i="1"/>
  <c r="A107" i="4" s="1"/>
  <c r="A36" i="1"/>
  <c r="A99" i="4" s="1"/>
  <c r="A40" i="1"/>
  <c r="A103" i="4" s="1"/>
  <c r="A53"/>
  <c r="A56"/>
  <c r="A54"/>
  <c r="A29" i="8" l="1"/>
  <c r="A38" i="4"/>
  <c r="A84" s="1"/>
  <c r="F40"/>
  <c r="F46" s="1"/>
  <c r="H40"/>
  <c r="H46" s="1"/>
  <c r="D46"/>
  <c r="C46"/>
  <c r="G46"/>
  <c r="E46"/>
  <c r="B46"/>
  <c r="G207"/>
  <c r="G48" i="14"/>
  <c r="G204" i="4"/>
  <c r="G66" i="8"/>
  <c r="U172" i="4"/>
  <c r="G198"/>
  <c r="G55" i="10"/>
  <c r="U166" i="4"/>
  <c r="G192"/>
  <c r="G63" i="12"/>
  <c r="U160" i="4"/>
  <c r="I186"/>
  <c r="I68" i="1"/>
  <c r="U175" i="4"/>
  <c r="E176"/>
  <c r="I176"/>
  <c r="E92"/>
  <c r="G92"/>
  <c r="C176"/>
  <c r="E181"/>
  <c r="E186" s="1"/>
  <c r="E68" i="1"/>
  <c r="G181" i="4"/>
  <c r="G186" s="1"/>
  <c r="G68" i="1"/>
  <c r="E55" i="10"/>
  <c r="E193" i="4"/>
  <c r="E198" s="1"/>
  <c r="C66" i="8"/>
  <c r="C199" i="4"/>
  <c r="C204" s="1"/>
  <c r="I66" i="8"/>
  <c r="I199" i="4"/>
  <c r="I204" s="1"/>
  <c r="E48" i="14"/>
  <c r="E205" i="4"/>
  <c r="E207" s="1"/>
  <c r="I63" i="12"/>
  <c r="I187" i="4"/>
  <c r="I192" s="1"/>
  <c r="E63" i="12"/>
  <c r="E187" i="4"/>
  <c r="E192" s="1"/>
  <c r="C181"/>
  <c r="C186" s="1"/>
  <c r="C68" i="1"/>
  <c r="C63" i="12"/>
  <c r="C187" i="4"/>
  <c r="C192" s="1"/>
  <c r="C55" i="10"/>
  <c r="C193" i="4"/>
  <c r="C198" s="1"/>
  <c r="I55" i="10"/>
  <c r="I193" i="4"/>
  <c r="I198" s="1"/>
  <c r="E66" i="8"/>
  <c r="E199" i="4"/>
  <c r="E204" s="1"/>
  <c r="C48" i="14"/>
  <c r="C205" i="4"/>
  <c r="C207" s="1"/>
  <c r="I48" i="14"/>
  <c r="I205" i="4"/>
  <c r="I207" s="1"/>
  <c r="C92"/>
  <c r="A20" i="14"/>
  <c r="A90" i="4" s="1"/>
  <c r="A42" i="8"/>
  <c r="A134" i="4" s="1"/>
  <c r="A24" i="8"/>
  <c r="A79" i="4" s="1"/>
  <c r="A63" i="8"/>
  <c r="A201" i="4" s="1"/>
  <c r="A53" i="8"/>
  <c r="A169" i="4" s="1"/>
  <c r="A41" i="8"/>
  <c r="A133" i="4" s="1"/>
  <c r="A23" i="8"/>
  <c r="A78" i="4" s="1"/>
  <c r="A20" i="10"/>
  <c r="A72" i="4" s="1"/>
  <c r="A52" i="10"/>
  <c r="A195" i="4" s="1"/>
  <c r="A42" i="10"/>
  <c r="A163" i="4" s="1"/>
  <c r="A31" i="10"/>
  <c r="A125" i="4" s="1"/>
  <c r="A19" i="10"/>
  <c r="A71" i="4" s="1"/>
  <c r="A21" i="12"/>
  <c r="A64" i="4" s="1"/>
  <c r="A36" i="12"/>
  <c r="A117" i="4" s="1"/>
  <c r="A65"/>
  <c r="A60" i="12"/>
  <c r="A189" i="4" s="1"/>
  <c r="A50" i="12"/>
  <c r="A157" i="4" s="1"/>
  <c r="A35" i="12"/>
  <c r="A116" i="4" s="1"/>
  <c r="F208"/>
  <c r="B208"/>
  <c r="H208"/>
  <c r="J208"/>
  <c r="L176"/>
  <c r="D208"/>
  <c r="A8"/>
  <c r="H176"/>
  <c r="O176"/>
  <c r="P176"/>
  <c r="T176"/>
  <c r="G176"/>
  <c r="K176"/>
  <c r="S176"/>
  <c r="F176"/>
  <c r="Q176"/>
  <c r="M176"/>
  <c r="D176"/>
  <c r="N176"/>
  <c r="B176"/>
  <c r="J176"/>
  <c r="R176"/>
  <c r="I92"/>
  <c r="C144"/>
  <c r="E144"/>
  <c r="D144"/>
  <c r="H92"/>
  <c r="D92"/>
  <c r="F92"/>
  <c r="A12"/>
  <c r="A55"/>
  <c r="G208" l="1"/>
  <c r="C208"/>
  <c r="E208"/>
  <c r="I208"/>
  <c r="A25" i="8"/>
  <c r="A80" i="4" s="1"/>
  <c r="A64" i="8"/>
  <c r="A202" i="4" s="1"/>
  <c r="A43" i="8"/>
  <c r="A135" i="4" s="1"/>
  <c r="A27" i="8"/>
  <c r="A82" i="4" s="1"/>
  <c r="A54" i="8"/>
  <c r="A170" i="4" s="1"/>
  <c r="A196"/>
  <c r="A164"/>
  <c r="A61" i="12"/>
  <c r="A190" i="4" s="1"/>
  <c r="A39" i="12"/>
  <c r="A120" i="4" s="1"/>
  <c r="A37" i="12"/>
  <c r="A118" i="4" s="1"/>
  <c r="A23" i="12"/>
  <c r="A66" i="4" s="1"/>
  <c r="A51" i="12"/>
  <c r="A158" i="4" s="1"/>
  <c r="A38" i="12"/>
  <c r="A119" i="4" s="1"/>
  <c r="A57"/>
  <c r="A28" i="8" l="1"/>
  <c r="A83" i="4" s="1"/>
  <c r="A30" i="8"/>
  <c r="A85" i="4" s="1"/>
  <c r="A65" i="8"/>
  <c r="A203" i="4" s="1"/>
  <c r="A55" i="8"/>
  <c r="A171" i="4" s="1"/>
  <c r="A44" i="8"/>
  <c r="A136" i="4" s="1"/>
  <c r="A21" i="10"/>
  <c r="A73" i="4" s="1"/>
  <c r="A22" i="10"/>
  <c r="A74" i="4" s="1"/>
  <c r="A54" i="10"/>
  <c r="A197" i="4" s="1"/>
  <c r="A44" i="10"/>
  <c r="A165" i="4" s="1"/>
  <c r="A33" i="10"/>
  <c r="A126" i="4" s="1"/>
  <c r="A24" i="12"/>
  <c r="A67" i="4" s="1"/>
  <c r="A59"/>
  <c r="A14"/>
  <c r="U154"/>
  <c r="U176" s="1"/>
  <c r="G17" i="15"/>
</calcChain>
</file>

<file path=xl/comments1.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33"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2.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29"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3.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27"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4.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35"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5.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25"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6.xml><?xml version="1.0" encoding="utf-8"?>
<comments xmlns="http://schemas.openxmlformats.org/spreadsheetml/2006/main">
  <authors>
    <author>Operations1</author>
  </authors>
  <commentList>
    <comment ref="F4" authorId="0">
      <text>
        <r>
          <rPr>
            <b/>
            <sz val="9"/>
            <color indexed="81"/>
            <rFont val="Tahoma"/>
            <family val="2"/>
          </rPr>
          <t>In this column the cells will be highlight green if the fitments were more than 70% and will be highlight red if the fitments were below 70%</t>
        </r>
      </text>
    </comment>
    <comment ref="D96"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comments7.xml><?xml version="1.0" encoding="utf-8"?>
<comments xmlns="http://schemas.openxmlformats.org/spreadsheetml/2006/main">
  <authors>
    <author>Operations1</author>
  </authors>
  <commentList>
    <comment ref="E1" authorId="0">
      <text>
        <r>
          <rPr>
            <b/>
            <sz val="9"/>
            <color indexed="81"/>
            <rFont val="Tahoma"/>
            <family val="2"/>
          </rPr>
          <t>The cells in this column will highlight red when the quantity is more than the quantity collected.  This will then indicate that more people didn't hand in their Noise Clippers than people who handed in their Noise Clippers.</t>
        </r>
        <r>
          <rPr>
            <sz val="9"/>
            <color indexed="81"/>
            <rFont val="Tahoma"/>
            <family val="2"/>
          </rPr>
          <t xml:space="preserve">
</t>
        </r>
      </text>
    </comment>
  </commentList>
</comments>
</file>

<file path=xl/sharedStrings.xml><?xml version="1.0" encoding="utf-8"?>
<sst xmlns="http://schemas.openxmlformats.org/spreadsheetml/2006/main" count="531" uniqueCount="70">
  <si>
    <t>Date</t>
  </si>
  <si>
    <t>Shaft / Area</t>
  </si>
  <si>
    <t>Parading and Fitment Stats</t>
  </si>
  <si>
    <t>8#</t>
  </si>
  <si>
    <t>9#</t>
  </si>
  <si>
    <t>7A#</t>
  </si>
  <si>
    <t>14#</t>
  </si>
  <si>
    <t>11#</t>
  </si>
  <si>
    <t>Maintenance</t>
  </si>
  <si>
    <t>6#</t>
  </si>
  <si>
    <t>7#</t>
  </si>
  <si>
    <t>11C#</t>
  </si>
  <si>
    <t>Impressions</t>
  </si>
  <si>
    <t>1#</t>
  </si>
  <si>
    <t>2#</t>
  </si>
  <si>
    <t>4#</t>
  </si>
  <si>
    <t>5#</t>
  </si>
  <si>
    <t>10#</t>
  </si>
  <si>
    <t>12#</t>
  </si>
  <si>
    <t>16#</t>
  </si>
  <si>
    <t>17#</t>
  </si>
  <si>
    <t>20#</t>
  </si>
  <si>
    <t>E&amp;F</t>
  </si>
  <si>
    <t>Total</t>
  </si>
  <si>
    <t>Contractors</t>
  </si>
  <si>
    <t>New Recruits</t>
  </si>
  <si>
    <t>Quantity to Parade</t>
  </si>
  <si>
    <t>Quantity Paraded</t>
  </si>
  <si>
    <t>Quantity Fitted at Shaft/Area</t>
  </si>
  <si>
    <t>Pecentage Fitted at Shaft/Area</t>
  </si>
  <si>
    <t>Quantity Fitted at NC Office</t>
  </si>
  <si>
    <t>Total Fitted for the Day</t>
  </si>
  <si>
    <t>Week 1 Total</t>
  </si>
  <si>
    <t>Leave</t>
  </si>
  <si>
    <t>Discharged</t>
  </si>
  <si>
    <t>Transferred to other Shaft / Area</t>
  </si>
  <si>
    <t>Sick Leave</t>
  </si>
  <si>
    <t>Training</t>
  </si>
  <si>
    <t>Other</t>
  </si>
  <si>
    <t>Employees Not Paraded</t>
  </si>
  <si>
    <t>Quantity Collected from Shaft</t>
  </si>
  <si>
    <t>Quantity Fitted at Office</t>
  </si>
  <si>
    <t>Quantity employees going on leave and did not hand in their Noise Clippers</t>
  </si>
  <si>
    <t>Minpro</t>
  </si>
  <si>
    <t>Totals for Days</t>
  </si>
  <si>
    <t>2 Year Claims</t>
  </si>
  <si>
    <t>5 Year Claim</t>
  </si>
  <si>
    <t>Ear Health Problems</t>
  </si>
  <si>
    <t>Percentage Contactors of Total Impressions</t>
  </si>
  <si>
    <t>Percentage New Recruits of Total Impressions</t>
  </si>
  <si>
    <t>Percentage 2 Year Claims of Total Impressions</t>
  </si>
  <si>
    <t>Percentage of 5 Year Claims of Total Impressions</t>
  </si>
  <si>
    <t>Contractors, New Recruits, 2 Year Claim, 5 Year Claim and Ear Health Problems</t>
  </si>
  <si>
    <t>Week 2 Total</t>
  </si>
  <si>
    <t>Week 3 Total</t>
  </si>
  <si>
    <t>Week 5 Total</t>
  </si>
  <si>
    <t>Week 4 Total</t>
  </si>
  <si>
    <t>Month Total</t>
  </si>
  <si>
    <t>SYSTEMS DOWN AT THE SHAFT</t>
  </si>
  <si>
    <t>Row Labels</t>
  </si>
  <si>
    <t>Grand Total</t>
  </si>
  <si>
    <t>Sum of Quantity Collected from Shaft</t>
  </si>
  <si>
    <t>Values</t>
  </si>
  <si>
    <t>Sum of Quantity employees going on leave and did not hand in their Noise Clippers</t>
  </si>
  <si>
    <t>Count of Quantity Fitted at Office</t>
  </si>
  <si>
    <t>Total Number of Employees</t>
  </si>
  <si>
    <t>EF</t>
  </si>
  <si>
    <t>10% Leave</t>
  </si>
  <si>
    <t>% of Noise Clippers Collected Compared to 10% Leave</t>
  </si>
  <si>
    <t>11 &amp; 11C#</t>
  </si>
</sst>
</file>

<file path=xl/styles.xml><?xml version="1.0" encoding="utf-8"?>
<styleSheet xmlns="http://schemas.openxmlformats.org/spreadsheetml/2006/main">
  <fonts count="12">
    <font>
      <sz val="10"/>
      <name val="Arial"/>
    </font>
    <font>
      <sz val="8"/>
      <name val="Arial"/>
      <family val="2"/>
    </font>
    <font>
      <sz val="10"/>
      <name val="Arial"/>
      <family val="2"/>
    </font>
    <font>
      <sz val="10"/>
      <color theme="1"/>
      <name val="Arial"/>
      <family val="2"/>
    </font>
    <font>
      <b/>
      <sz val="10"/>
      <color theme="0"/>
      <name val="Arial"/>
      <family val="2"/>
    </font>
    <font>
      <b/>
      <sz val="16"/>
      <name val="Arial"/>
      <family val="2"/>
    </font>
    <font>
      <sz val="9"/>
      <color indexed="81"/>
      <name val="Tahoma"/>
      <family val="2"/>
    </font>
    <font>
      <b/>
      <sz val="9"/>
      <color indexed="81"/>
      <name val="Tahoma"/>
      <family val="2"/>
    </font>
    <font>
      <b/>
      <sz val="20"/>
      <name val="Arial"/>
      <family val="2"/>
    </font>
    <font>
      <b/>
      <sz val="10"/>
      <name val="Arial"/>
      <family val="2"/>
    </font>
    <font>
      <b/>
      <sz val="11"/>
      <color theme="0"/>
      <name val="Calibri"/>
      <family val="2"/>
      <scheme val="minor"/>
    </font>
    <font>
      <sz val="11"/>
      <color theme="0"/>
      <name val="Calibri"/>
      <family val="2"/>
      <scheme val="minor"/>
    </font>
  </fonts>
  <fills count="13">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4" tint="0.59999389629810485"/>
      </patternFill>
    </fill>
    <fill>
      <patternFill patternType="solid">
        <fgColor theme="4"/>
      </patternFill>
    </fill>
    <fill>
      <patternFill patternType="solid">
        <fgColor rgb="FFFF0000"/>
        <bgColor indexed="64"/>
      </patternFill>
    </fill>
    <fill>
      <patternFill patternType="solid">
        <fgColor theme="0" tint="-0.14999847407452621"/>
        <bgColor theme="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11" fillId="9" borderId="0" applyNumberFormat="0" applyBorder="0" applyAlignment="0" applyProtection="0"/>
  </cellStyleXfs>
  <cellXfs count="160">
    <xf numFmtId="0" fontId="0" fillId="0" borderId="0" xfId="0"/>
    <xf numFmtId="0" fontId="0" fillId="0" borderId="0" xfId="0" applyAlignment="1">
      <alignment horizontal="center" vertical="center" wrapText="1"/>
    </xf>
    <xf numFmtId="14" fontId="0" fillId="0" borderId="3" xfId="0" applyNumberFormat="1" applyBorder="1" applyAlignment="1">
      <alignment horizontal="center"/>
    </xf>
    <xf numFmtId="14" fontId="0" fillId="0" borderId="5" xfId="0" applyNumberFormat="1" applyBorder="1" applyAlignment="1">
      <alignment horizontal="center"/>
    </xf>
    <xf numFmtId="0" fontId="0" fillId="0" borderId="0" xfId="0" applyAlignment="1">
      <alignment horizontal="center"/>
    </xf>
    <xf numFmtId="14" fontId="0" fillId="0" borderId="8" xfId="0" applyNumberFormat="1"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9" fontId="0" fillId="0" borderId="1" xfId="0" applyNumberFormat="1"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14" fontId="0" fillId="0" borderId="18" xfId="0" applyNumberFormat="1" applyBorder="1" applyAlignment="1">
      <alignment horizontal="center" vertical="center"/>
    </xf>
    <xf numFmtId="14" fontId="0" fillId="0" borderId="18" xfId="0" applyNumberFormat="1" applyBorder="1" applyAlignment="1">
      <alignment horizontal="center"/>
    </xf>
    <xf numFmtId="14" fontId="0" fillId="0" borderId="23" xfId="0" applyNumberFormat="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14" fontId="0" fillId="0" borderId="23" xfId="0" applyNumberFormat="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wrapText="1"/>
    </xf>
    <xf numFmtId="0" fontId="0" fillId="0" borderId="22" xfId="0" applyBorder="1" applyAlignment="1">
      <alignment horizontal="center"/>
    </xf>
    <xf numFmtId="14" fontId="3" fillId="3" borderId="3" xfId="0" applyNumberFormat="1" applyFont="1" applyFill="1" applyBorder="1" applyAlignment="1">
      <alignment horizontal="center"/>
    </xf>
    <xf numFmtId="0" fontId="3" fillId="3" borderId="4" xfId="0" applyFont="1" applyFill="1" applyBorder="1" applyAlignment="1">
      <alignment horizontal="center"/>
    </xf>
    <xf numFmtId="14" fontId="3" fillId="4" borderId="3" xfId="0" applyNumberFormat="1" applyFont="1" applyFill="1" applyBorder="1" applyAlignment="1">
      <alignment horizontal="center"/>
    </xf>
    <xf numFmtId="0" fontId="3" fillId="4" borderId="4" xfId="0" applyFont="1" applyFill="1" applyBorder="1" applyAlignment="1">
      <alignment horizontal="center"/>
    </xf>
    <xf numFmtId="14" fontId="3" fillId="3" borderId="5" xfId="0" applyNumberFormat="1" applyFont="1" applyFill="1" applyBorder="1" applyAlignment="1">
      <alignment horizontal="center"/>
    </xf>
    <xf numFmtId="0" fontId="3" fillId="3" borderId="6" xfId="0" applyFont="1" applyFill="1" applyBorder="1" applyAlignment="1">
      <alignment horizontal="center"/>
    </xf>
    <xf numFmtId="0" fontId="4" fillId="2" borderId="1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4" fontId="0" fillId="0" borderId="20" xfId="0" applyNumberForma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4" fontId="0" fillId="0" borderId="20" xfId="0" applyNumberFormat="1" applyBorder="1" applyAlignment="1">
      <alignment horizontal="center"/>
    </xf>
    <xf numFmtId="9" fontId="0" fillId="0" borderId="6" xfId="0" applyNumberFormat="1" applyBorder="1" applyAlignment="1">
      <alignment horizontal="center"/>
    </xf>
    <xf numFmtId="0" fontId="8" fillId="0" borderId="21" xfId="0" applyFont="1" applyBorder="1" applyAlignment="1"/>
    <xf numFmtId="0" fontId="0" fillId="5" borderId="6" xfId="0" applyFill="1" applyBorder="1" applyAlignment="1">
      <alignment horizontal="center"/>
    </xf>
    <xf numFmtId="14" fontId="0" fillId="5" borderId="20" xfId="0" applyNumberFormat="1" applyFill="1" applyBorder="1" applyAlignment="1">
      <alignment horizontal="center"/>
    </xf>
    <xf numFmtId="9" fontId="0" fillId="5" borderId="6" xfId="0" applyNumberFormat="1" applyFill="1" applyBorder="1" applyAlignment="1">
      <alignment horizontal="center"/>
    </xf>
    <xf numFmtId="14" fontId="0" fillId="5" borderId="18" xfId="0" applyNumberFormat="1" applyFill="1" applyBorder="1" applyAlignment="1">
      <alignment horizontal="center"/>
    </xf>
    <xf numFmtId="0" fontId="0" fillId="5" borderId="1" xfId="0" applyFill="1" applyBorder="1" applyAlignment="1">
      <alignment horizontal="center"/>
    </xf>
    <xf numFmtId="14" fontId="0" fillId="5" borderId="23" xfId="0" applyNumberFormat="1" applyFill="1" applyBorder="1" applyAlignment="1">
      <alignment horizontal="center"/>
    </xf>
    <xf numFmtId="14" fontId="0" fillId="6" borderId="18" xfId="0" applyNumberFormat="1" applyFill="1" applyBorder="1" applyAlignment="1">
      <alignment horizontal="center"/>
    </xf>
    <xf numFmtId="0" fontId="0" fillId="6" borderId="1" xfId="0" applyFill="1" applyBorder="1" applyAlignment="1">
      <alignment horizontal="center"/>
    </xf>
    <xf numFmtId="9" fontId="0" fillId="6" borderId="6" xfId="0" applyNumberFormat="1" applyFill="1" applyBorder="1" applyAlignment="1">
      <alignment horizontal="center"/>
    </xf>
    <xf numFmtId="14" fontId="0" fillId="6" borderId="18" xfId="0" applyNumberFormat="1" applyFill="1" applyBorder="1" applyAlignment="1">
      <alignment horizontal="center" vertical="center"/>
    </xf>
    <xf numFmtId="0" fontId="0" fillId="6" borderId="1" xfId="0" applyFill="1" applyBorder="1" applyAlignment="1">
      <alignment horizontal="center" vertical="center"/>
    </xf>
    <xf numFmtId="14" fontId="0" fillId="5" borderId="18" xfId="0" applyNumberFormat="1" applyFill="1" applyBorder="1" applyAlignment="1">
      <alignment horizontal="center" vertical="center"/>
    </xf>
    <xf numFmtId="0" fontId="0" fillId="5" borderId="1" xfId="0" applyFill="1" applyBorder="1" applyAlignment="1">
      <alignment horizontal="center" vertical="center"/>
    </xf>
    <xf numFmtId="0" fontId="4" fillId="2" borderId="13" xfId="0" applyFont="1" applyFill="1" applyBorder="1" applyAlignment="1">
      <alignment horizontal="center"/>
    </xf>
    <xf numFmtId="14" fontId="0" fillId="6" borderId="20" xfId="0" applyNumberFormat="1" applyFill="1" applyBorder="1" applyAlignment="1">
      <alignment horizontal="center"/>
    </xf>
    <xf numFmtId="0" fontId="0" fillId="6" borderId="6" xfId="0" applyFill="1" applyBorder="1" applyAlignment="1">
      <alignment horizontal="center"/>
    </xf>
    <xf numFmtId="14" fontId="3" fillId="3" borderId="20" xfId="0" applyNumberFormat="1" applyFont="1" applyFill="1" applyBorder="1" applyAlignment="1">
      <alignment horizontal="center"/>
    </xf>
    <xf numFmtId="0" fontId="4" fillId="2" borderId="19" xfId="0" applyFont="1" applyFill="1" applyBorder="1" applyAlignment="1">
      <alignment horizontal="center"/>
    </xf>
    <xf numFmtId="14" fontId="4" fillId="2" borderId="28" xfId="0" applyNumberFormat="1" applyFont="1" applyFill="1" applyBorder="1" applyAlignment="1">
      <alignment horizontal="center"/>
    </xf>
    <xf numFmtId="0" fontId="4" fillId="2" borderId="26" xfId="0" applyFont="1" applyFill="1" applyBorder="1" applyAlignment="1">
      <alignment horizontal="center"/>
    </xf>
    <xf numFmtId="14" fontId="4" fillId="2" borderId="31" xfId="0" applyNumberFormat="1" applyFont="1" applyFill="1" applyBorder="1" applyAlignment="1">
      <alignment horizontal="center"/>
    </xf>
    <xf numFmtId="0" fontId="4" fillId="2" borderId="33" xfId="0" applyFont="1" applyFill="1" applyBorder="1" applyAlignment="1">
      <alignment horizontal="center"/>
    </xf>
    <xf numFmtId="0" fontId="4" fillId="2" borderId="30" xfId="0" applyFont="1" applyFill="1" applyBorder="1" applyAlignment="1">
      <alignment horizontal="center"/>
    </xf>
    <xf numFmtId="14" fontId="4" fillId="2" borderId="18" xfId="0" applyNumberFormat="1" applyFont="1" applyFill="1" applyBorder="1" applyAlignment="1">
      <alignment horizontal="center" vertical="center"/>
    </xf>
    <xf numFmtId="14" fontId="4" fillId="2" borderId="23" xfId="0" applyNumberFormat="1" applyFont="1" applyFill="1" applyBorder="1" applyAlignment="1">
      <alignment horizontal="center" vertical="center"/>
    </xf>
    <xf numFmtId="0" fontId="4" fillId="2" borderId="11" xfId="0" applyFont="1" applyFill="1" applyBorder="1" applyAlignment="1">
      <alignment horizontal="center" vertical="center"/>
    </xf>
    <xf numFmtId="14" fontId="4" fillId="2" borderId="16" xfId="0"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9" fontId="4" fillId="2" borderId="27" xfId="0" applyNumberFormat="1" applyFont="1" applyFill="1" applyBorder="1" applyAlignment="1">
      <alignment horizontal="center" vertical="center"/>
    </xf>
    <xf numFmtId="0" fontId="4" fillId="2" borderId="27" xfId="0" applyFont="1" applyFill="1" applyBorder="1" applyAlignment="1">
      <alignment horizontal="center" vertical="center"/>
    </xf>
    <xf numFmtId="14" fontId="4" fillId="2" borderId="21" xfId="0" applyNumberFormat="1" applyFont="1" applyFill="1" applyBorder="1" applyAlignment="1">
      <alignment horizontal="center"/>
    </xf>
    <xf numFmtId="0" fontId="4" fillId="2" borderId="30" xfId="0" applyFont="1" applyFill="1" applyBorder="1" applyAlignment="1">
      <alignment horizontal="center" vertical="center"/>
    </xf>
    <xf numFmtId="9" fontId="4" fillId="2" borderId="21" xfId="0" applyNumberFormat="1" applyFont="1" applyFill="1" applyBorder="1" applyAlignment="1">
      <alignment horizontal="center" vertical="center"/>
    </xf>
    <xf numFmtId="14" fontId="4" fillId="2" borderId="10" xfId="0" applyNumberFormat="1" applyFont="1" applyFill="1" applyBorder="1" applyAlignment="1">
      <alignment horizontal="center"/>
    </xf>
    <xf numFmtId="9" fontId="4" fillId="2" borderId="13" xfId="0" applyNumberFormat="1" applyFont="1" applyFill="1" applyBorder="1" applyAlignment="1">
      <alignment horizontal="center" vertical="center"/>
    </xf>
    <xf numFmtId="0" fontId="4" fillId="2" borderId="29" xfId="0" applyFont="1" applyFill="1" applyBorder="1" applyAlignment="1">
      <alignment horizontal="center" vertical="center"/>
    </xf>
    <xf numFmtId="14" fontId="9" fillId="7" borderId="27" xfId="0" applyNumberFormat="1" applyFont="1" applyFill="1" applyBorder="1" applyAlignment="1">
      <alignment horizontal="center"/>
    </xf>
    <xf numFmtId="0" fontId="9" fillId="7" borderId="16" xfId="0" applyFont="1" applyFill="1" applyBorder="1" applyAlignment="1">
      <alignment horizontal="center" vertical="center"/>
    </xf>
    <xf numFmtId="0" fontId="9" fillId="7" borderId="13" xfId="0" applyFont="1" applyFill="1" applyBorder="1" applyAlignment="1">
      <alignment horizontal="center" vertical="center"/>
    </xf>
    <xf numFmtId="0" fontId="9" fillId="0" borderId="0" xfId="0" applyFont="1" applyAlignment="1">
      <alignment horizontal="center" vertical="center"/>
    </xf>
    <xf numFmtId="0" fontId="9" fillId="7" borderId="16" xfId="0" applyFont="1" applyFill="1" applyBorder="1" applyAlignment="1">
      <alignment horizontal="center"/>
    </xf>
    <xf numFmtId="0" fontId="9" fillId="7" borderId="13" xfId="0" applyFont="1" applyFill="1" applyBorder="1" applyAlignment="1">
      <alignment horizontal="center"/>
    </xf>
    <xf numFmtId="0" fontId="9" fillId="0" borderId="0" xfId="0" applyFont="1" applyAlignment="1">
      <alignment horizontal="center"/>
    </xf>
    <xf numFmtId="9" fontId="9" fillId="7" borderId="13" xfId="0" applyNumberFormat="1" applyFont="1" applyFill="1" applyBorder="1" applyAlignment="1">
      <alignment horizontal="center"/>
    </xf>
    <xf numFmtId="0" fontId="9" fillId="0" borderId="0" xfId="0" applyFont="1"/>
    <xf numFmtId="14" fontId="3" fillId="8" borderId="20" xfId="0" applyNumberFormat="1" applyFont="1" applyFill="1" applyBorder="1" applyAlignment="1">
      <alignment horizontal="center"/>
    </xf>
    <xf numFmtId="0" fontId="3" fillId="8" borderId="6" xfId="0" applyFont="1" applyFill="1" applyBorder="1" applyAlignment="1">
      <alignment horizontal="center"/>
    </xf>
    <xf numFmtId="14" fontId="0" fillId="6" borderId="20" xfId="0" applyNumberFormat="1" applyFill="1" applyBorder="1" applyAlignment="1">
      <alignment horizontal="center" vertical="center"/>
    </xf>
    <xf numFmtId="0" fontId="0" fillId="6" borderId="6" xfId="0" applyFill="1" applyBorder="1" applyAlignment="1">
      <alignment horizontal="center" vertical="center"/>
    </xf>
    <xf numFmtId="14" fontId="0" fillId="5" borderId="20" xfId="0" applyNumberFormat="1" applyFill="1" applyBorder="1" applyAlignment="1">
      <alignment horizontal="center" vertical="center"/>
    </xf>
    <xf numFmtId="0" fontId="0" fillId="5" borderId="6" xfId="0" applyFill="1" applyBorder="1" applyAlignment="1">
      <alignment horizontal="center" vertical="center"/>
    </xf>
    <xf numFmtId="14" fontId="3" fillId="8" borderId="5" xfId="0" applyNumberFormat="1" applyFont="1" applyFill="1" applyBorder="1" applyAlignment="1">
      <alignment horizontal="center"/>
    </xf>
    <xf numFmtId="14" fontId="2" fillId="0" borderId="20" xfId="0" applyNumberFormat="1" applyFont="1" applyBorder="1" applyAlignment="1">
      <alignment horizontal="center"/>
    </xf>
    <xf numFmtId="0" fontId="9" fillId="0" borderId="0" xfId="0" applyFont="1" applyBorder="1" applyAlignment="1">
      <alignment horizontal="center"/>
    </xf>
    <xf numFmtId="0" fontId="2" fillId="0" borderId="0" xfId="0" applyFont="1"/>
    <xf numFmtId="10" fontId="0" fillId="0" borderId="6" xfId="0" applyNumberFormat="1" applyBorder="1" applyAlignment="1">
      <alignment horizontal="center"/>
    </xf>
    <xf numFmtId="10" fontId="0" fillId="5" borderId="6" xfId="0" applyNumberFormat="1" applyFill="1" applyBorder="1" applyAlignment="1">
      <alignment horizontal="center"/>
    </xf>
    <xf numFmtId="10" fontId="0" fillId="6" borderId="6" xfId="0" applyNumberFormat="1" applyFill="1" applyBorder="1" applyAlignment="1">
      <alignment horizontal="center"/>
    </xf>
    <xf numFmtId="10" fontId="4" fillId="2" borderId="13" xfId="0" applyNumberFormat="1" applyFont="1" applyFill="1" applyBorder="1" applyAlignment="1">
      <alignment horizontal="center"/>
    </xf>
    <xf numFmtId="10" fontId="3" fillId="3" borderId="6" xfId="0" applyNumberFormat="1" applyFont="1" applyFill="1" applyBorder="1" applyAlignment="1">
      <alignment horizontal="center"/>
    </xf>
    <xf numFmtId="10" fontId="3" fillId="8" borderId="6" xfId="0" applyNumberFormat="1" applyFont="1" applyFill="1" applyBorder="1" applyAlignment="1">
      <alignment horizontal="center"/>
    </xf>
    <xf numFmtId="10" fontId="4" fillId="2" borderId="33" xfId="0" applyNumberFormat="1" applyFont="1" applyFill="1" applyBorder="1" applyAlignment="1">
      <alignment horizontal="center"/>
    </xf>
    <xf numFmtId="0" fontId="0" fillId="0" borderId="4" xfId="0" applyBorder="1" applyAlignment="1">
      <alignment horizontal="center"/>
    </xf>
    <xf numFmtId="0" fontId="0" fillId="0" borderId="12" xfId="0" applyBorder="1" applyAlignment="1">
      <alignment horizontal="center"/>
    </xf>
    <xf numFmtId="0" fontId="9" fillId="7" borderId="26" xfId="0" applyFont="1" applyFill="1" applyBorder="1" applyAlignment="1">
      <alignment horizontal="center"/>
    </xf>
    <xf numFmtId="9" fontId="9" fillId="7" borderId="27" xfId="0" applyNumberFormat="1" applyFont="1" applyFill="1" applyBorder="1" applyAlignment="1">
      <alignment horizontal="center"/>
    </xf>
    <xf numFmtId="0" fontId="3" fillId="3" borderId="19" xfId="0" applyFont="1" applyFill="1" applyBorder="1" applyAlignment="1">
      <alignment horizontal="center"/>
    </xf>
    <xf numFmtId="0" fontId="3" fillId="3" borderId="17" xfId="0" applyFont="1" applyFill="1" applyBorder="1" applyAlignment="1">
      <alignment horizontal="center"/>
    </xf>
    <xf numFmtId="14" fontId="10" fillId="9" borderId="25" xfId="1" applyNumberFormat="1" applyFont="1" applyBorder="1" applyAlignment="1">
      <alignment horizontal="center"/>
    </xf>
    <xf numFmtId="0" fontId="10" fillId="9" borderId="15" xfId="1" applyFont="1" applyBorder="1" applyAlignment="1">
      <alignment horizontal="center"/>
    </xf>
    <xf numFmtId="10" fontId="10" fillId="9" borderId="15" xfId="1" applyNumberFormat="1" applyFont="1" applyBorder="1" applyAlignment="1">
      <alignment horizontal="center"/>
    </xf>
    <xf numFmtId="0" fontId="10" fillId="9" borderId="24" xfId="1"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10" borderId="0" xfId="0" applyFont="1" applyFill="1"/>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6" borderId="1" xfId="0" applyFont="1" applyFill="1" applyBorder="1" applyAlignment="1">
      <alignment horizontal="center" vertical="center"/>
    </xf>
    <xf numFmtId="14" fontId="0" fillId="0" borderId="27" xfId="0" applyNumberFormat="1" applyBorder="1" applyAlignment="1">
      <alignment horizontal="center"/>
    </xf>
    <xf numFmtId="0" fontId="0" fillId="0" borderId="26" xfId="0" applyBorder="1" applyAlignment="1">
      <alignment horizontal="center"/>
    </xf>
    <xf numFmtId="9" fontId="0" fillId="0" borderId="27" xfId="0" applyNumberFormat="1" applyBorder="1" applyAlignment="1">
      <alignment horizontal="center"/>
    </xf>
    <xf numFmtId="0" fontId="0" fillId="0" borderId="27" xfId="0" applyBorder="1" applyAlignment="1">
      <alignment horizontal="center"/>
    </xf>
    <xf numFmtId="0" fontId="2" fillId="5" borderId="6" xfId="0" applyFont="1" applyFill="1" applyBorder="1" applyAlignment="1">
      <alignment horizontal="center"/>
    </xf>
    <xf numFmtId="14" fontId="8" fillId="0" borderId="21" xfId="0" applyNumberFormat="1" applyFont="1" applyBorder="1" applyAlignment="1">
      <alignment horizontal="center"/>
    </xf>
    <xf numFmtId="0" fontId="8" fillId="0" borderId="21" xfId="0" applyFont="1" applyBorder="1" applyAlignment="1">
      <alignment horizontal="center"/>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xf>
    <xf numFmtId="0" fontId="5" fillId="0" borderId="27" xfId="0" applyFont="1" applyBorder="1" applyAlignment="1">
      <alignment horizontal="center"/>
    </xf>
    <xf numFmtId="0" fontId="5" fillId="0" borderId="29" xfId="0" applyFont="1" applyBorder="1" applyAlignment="1">
      <alignment horizontal="center"/>
    </xf>
    <xf numFmtId="14" fontId="8" fillId="0" borderId="0" xfId="0" applyNumberFormat="1" applyFont="1" applyBorder="1" applyAlignment="1">
      <alignment horizontal="center"/>
    </xf>
    <xf numFmtId="14" fontId="8" fillId="0" borderId="0" xfId="0" applyNumberFormat="1" applyFont="1" applyAlignment="1">
      <alignment horizontal="center"/>
    </xf>
    <xf numFmtId="0" fontId="5" fillId="0" borderId="32" xfId="0" applyFont="1" applyBorder="1" applyAlignment="1">
      <alignment horizontal="center"/>
    </xf>
    <xf numFmtId="0" fontId="5" fillId="0" borderId="21" xfId="0" applyFont="1" applyBorder="1" applyAlignment="1">
      <alignment horizontal="center"/>
    </xf>
    <xf numFmtId="0" fontId="5" fillId="0" borderId="2" xfId="0" applyFont="1" applyBorder="1" applyAlignment="1">
      <alignment horizontal="center"/>
    </xf>
    <xf numFmtId="0" fontId="5" fillId="0" borderId="9"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0" fillId="0" borderId="0" xfId="0" pivotButton="1"/>
    <xf numFmtId="0" fontId="0" fillId="0" borderId="0" xfId="0" applyAlignment="1">
      <alignment horizontal="left"/>
    </xf>
    <xf numFmtId="0" fontId="0" fillId="0" borderId="0" xfId="0" applyNumberFormat="1"/>
    <xf numFmtId="0" fontId="3" fillId="0" borderId="6" xfId="0" applyFont="1" applyFill="1" applyBorder="1" applyAlignment="1">
      <alignment horizontal="center"/>
    </xf>
    <xf numFmtId="0" fontId="3" fillId="0" borderId="1" xfId="0" applyFont="1" applyFill="1" applyBorder="1" applyAlignment="1">
      <alignment horizontal="center"/>
    </xf>
    <xf numFmtId="0" fontId="9" fillId="11" borderId="1" xfId="0" applyFont="1" applyFill="1" applyBorder="1" applyAlignment="1">
      <alignment horizontal="center" vertical="center" wrapText="1"/>
    </xf>
    <xf numFmtId="0" fontId="3" fillId="12" borderId="1" xfId="0" applyFont="1" applyFill="1" applyBorder="1" applyAlignment="1">
      <alignment horizontal="center"/>
    </xf>
    <xf numFmtId="1" fontId="3" fillId="0" borderId="1" xfId="0" applyNumberFormat="1" applyFont="1" applyFill="1" applyBorder="1" applyAlignment="1">
      <alignment horizontal="center"/>
    </xf>
    <xf numFmtId="1" fontId="3" fillId="12" borderId="1" xfId="0" applyNumberFormat="1" applyFont="1" applyFill="1" applyBorder="1" applyAlignment="1">
      <alignment horizontal="center"/>
    </xf>
    <xf numFmtId="1" fontId="3" fillId="0" borderId="35" xfId="0" applyNumberFormat="1" applyFont="1" applyFill="1" applyBorder="1" applyAlignment="1">
      <alignment horizontal="center"/>
    </xf>
  </cellXfs>
  <cellStyles count="2">
    <cellStyle name="Accent1" xfId="1" builtinId="29"/>
    <cellStyle name="Normal" xfId="0" builtinId="0"/>
  </cellStyles>
  <dxfs count="857">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right/>
        <top style="medium">
          <color indexed="64"/>
        </top>
        <bottom/>
      </border>
    </dxf>
    <dxf>
      <border diagonalUp="0" diagonalDown="0">
        <left/>
        <right/>
        <top style="medium">
          <color auto="1"/>
        </top>
        <bottom style="medium">
          <color auto="1"/>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numFmt numFmtId="13" formatCode="0%"/>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right/>
        <top style="medium">
          <color indexed="64"/>
        </top>
        <bottom/>
      </border>
    </dxf>
    <dxf>
      <border diagonalUp="0" diagonalDown="0">
        <left/>
        <right/>
        <top style="medium">
          <color auto="1"/>
        </top>
        <bottom style="medium">
          <color auto="1"/>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numFmt numFmtId="13" formatCode="0%"/>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right/>
        <top style="medium">
          <color indexed="64"/>
        </top>
        <bottom/>
      </border>
    </dxf>
    <dxf>
      <border diagonalUp="0" diagonalDown="0">
        <left/>
        <right/>
        <top style="medium">
          <color auto="1"/>
        </top>
        <bottom style="medium">
          <color auto="1"/>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numFmt numFmtId="13" formatCode="0%"/>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right/>
        <top style="medium">
          <color indexed="64"/>
        </top>
        <bottom/>
      </border>
    </dxf>
    <dxf>
      <border diagonalUp="0" diagonalDown="0">
        <left/>
        <right/>
        <top style="medium">
          <color auto="1"/>
        </top>
        <bottom style="medium">
          <color auto="1"/>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numFmt numFmtId="13" formatCode="0%"/>
      <fill>
        <patternFill patternType="solid">
          <fgColor theme="4"/>
          <bgColor theme="4"/>
        </patternFill>
      </fill>
      <alignment horizontal="center" vertical="center" textRotation="0" wrapText="0" indent="0" relativeIndent="0" justifyLastLine="0" shrinkToFit="0" readingOrder="0"/>
      <border diagonalUp="0" diagonalDown="0" outline="0">
        <left/>
        <right/>
        <top style="medium">
          <color indexed="64"/>
        </top>
        <bottom/>
      </border>
    </dxf>
    <dxf>
      <numFmt numFmtId="13" formatCode="0%"/>
      <border diagonalUp="0" diagonalDown="0">
        <left/>
        <right/>
        <top style="medium">
          <color auto="1"/>
        </top>
        <bottom style="medium">
          <color auto="1"/>
        </bottom>
        <vertical style="thin">
          <color indexed="64"/>
        </vertical>
        <horizontal style="thin">
          <color indexed="64"/>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top style="medium">
          <color indexed="64"/>
        </top>
        <bottom/>
      </border>
    </dxf>
    <dxf>
      <border diagonalUp="0" diagonalDown="0" outline="0">
        <left style="thin">
          <color indexed="64"/>
        </left>
        <right/>
        <top style="medium">
          <color auto="1"/>
        </top>
        <bottom style="medium">
          <color auto="1"/>
        </bottom>
      </border>
    </dxf>
    <dxf>
      <font>
        <b/>
        <i val="0"/>
        <strike val="0"/>
        <condense val="0"/>
        <extend val="0"/>
        <outline val="0"/>
        <shadow val="0"/>
        <u val="none"/>
        <vertAlign val="baseline"/>
        <sz val="10"/>
        <color theme="0"/>
        <name val="Arial"/>
        <scheme val="none"/>
      </font>
      <numFmt numFmtId="19" formatCode="yyyy/mm/dd"/>
      <fill>
        <patternFill patternType="solid">
          <fgColor theme="4"/>
          <bgColor theme="4"/>
        </patternFill>
      </fill>
      <alignment horizontal="center" vertical="bottom" textRotation="0" wrapText="0" indent="0" relativeIndent="0" justifyLastLine="0" shrinkToFit="0" readingOrder="0"/>
      <border diagonalUp="0" diagonalDown="0" outline="0">
        <left/>
        <right/>
        <top style="medium">
          <color indexed="64"/>
        </top>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numFmt numFmtId="19" formatCode="yyyy/mm/dd"/>
      <fill>
        <patternFill patternType="solid">
          <fgColor theme="4"/>
          <bgColor theme="4"/>
        </patternFill>
      </fill>
      <alignment horizontal="center" vertical="center" textRotation="0" wrapText="0" indent="0" relativeIndent="0" justifyLastLine="0" shrinkToFit="0" readingOrder="0"/>
      <border diagonalUp="0" diagonalDown="0" outline="0">
        <left/>
        <right style="thin">
          <color indexed="64"/>
        </right>
        <top style="thin">
          <color indexed="64"/>
        </top>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top style="thin">
          <color indexed="64"/>
        </top>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0" indent="0"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numFmt numFmtId="19" formatCode="yyyy/mm/dd"/>
      <fill>
        <patternFill patternType="solid">
          <fgColor theme="4"/>
          <bgColor theme="4"/>
        </patternFill>
      </fill>
      <alignment horizontal="center" vertical="center" textRotation="0" wrapText="0" indent="0" relativeIndent="0" justifyLastLine="0" shrinkToFit="0" readingOrder="0"/>
      <border diagonalUp="0" diagonalDown="0" outline="0">
        <left/>
        <right style="thin">
          <color indexed="64"/>
        </right>
        <top style="thin">
          <color indexed="64"/>
        </top>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4" formatCode="0.0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style="thin">
          <color indexed="64"/>
        </left>
        <right/>
        <top style="medium">
          <color auto="1"/>
        </top>
        <bottom style="medium">
          <color auto="1"/>
        </bottom>
      </border>
    </dxf>
    <dxf>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style="thin">
          <color indexed="64"/>
        </left>
        <right/>
        <top style="medium">
          <color auto="1"/>
        </top>
        <bottom style="medium">
          <color auto="1"/>
        </bottom>
      </border>
    </dxf>
    <dxf>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style="thin">
          <color indexed="64"/>
        </left>
        <right/>
        <top style="medium">
          <color auto="1"/>
        </top>
        <bottom style="medium">
          <color auto="1"/>
        </bottom>
      </border>
    </dxf>
    <dxf>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style="thin">
          <color indexed="64"/>
        </left>
        <right/>
        <top style="medium">
          <color auto="1"/>
        </top>
        <bottom style="medium">
          <color auto="1"/>
        </bottom>
      </border>
    </dxf>
    <dxf>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right/>
        <top style="medium">
          <color auto="1"/>
        </top>
        <bottom style="medium">
          <color auto="1"/>
        </bottom>
      </border>
    </dxf>
    <dxf>
      <numFmt numFmtId="13" formatCode="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outline="0">
        <left style="thin">
          <color indexed="64"/>
        </left>
        <right/>
        <top style="medium">
          <color auto="1"/>
        </top>
        <bottom style="medium">
          <color auto="1"/>
        </bottom>
      </border>
    </dxf>
    <dxf>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bottom" textRotation="0" wrapText="0" indent="0" relativeIndent="255" justifyLastLine="0" shrinkToFit="0" readingOrder="0"/>
      <border diagonalUp="0" diagonalDown="0" outline="0">
        <left/>
        <right/>
        <top style="medium">
          <color auto="1"/>
        </top>
        <bottom style="medium">
          <color auto="1"/>
        </bottom>
      </border>
    </dxf>
    <dxf>
      <border>
        <top style="medium">
          <color indexed="64"/>
        </top>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center"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outline="0">
        <left/>
        <right style="thin">
          <color indexed="64"/>
        </right>
        <top style="thin">
          <color indexed="64"/>
        </top>
        <bottom style="thin">
          <color indexed="64"/>
        </bottom>
      </border>
    </dxf>
    <dxf>
      <border>
        <top style="medium">
          <color indexed="64"/>
        </top>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top"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wrapText="0" indent="0" relativeIndent="255" justifyLastLine="0" shrinkToFit="0" readingOrder="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alignment horizontal="center" vertical="bottom" textRotation="0" wrapText="0" indent="0" relativeIndent="0" justifyLastLine="0" shrinkToFit="0" readingOrder="0"/>
      <border diagonalUp="0" diagonalDown="0" outline="0">
        <left style="thin">
          <color indexed="64"/>
        </left>
        <right style="medium">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numFmt numFmtId="13" formatCode="0%"/>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numFmt numFmtId="13" formatCode="0%"/>
      <alignment horizontal="center" vertical="bottom" textRotation="0" wrapText="0" indent="0" relativeIndent="0" justifyLastLine="0" shrinkToFit="0" readingOrder="0"/>
      <border diagonalUp="0" diagonalDown="0">
        <left style="thin">
          <color indexed="64"/>
        </left>
        <right style="thin">
          <color indexed="64"/>
        </right>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relativeIndent="0" justifyLastLine="0" shrinkToFit="0" readingOrder="0"/>
      <border diagonalUp="0" diagonalDown="0" outline="0">
        <left style="thin">
          <color indexed="64"/>
        </left>
        <right style="thin">
          <color indexed="64"/>
        </right>
        <top style="medium">
          <color indexed="64"/>
        </top>
        <bottom style="medium">
          <color indexed="64"/>
        </bottom>
      </border>
    </dxf>
    <dxf>
      <alignment horizontal="center"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diagonalUp="0" diagonalDown="0" outline="0">
        <left style="medium">
          <color indexed="64"/>
        </left>
        <right style="thin">
          <color indexed="64"/>
        </right>
        <top style="medium">
          <color indexed="64"/>
        </top>
        <bottom style="medium">
          <color indexed="64"/>
        </bottom>
      </border>
    </dxf>
    <dxf>
      <numFmt numFmtId="19" formatCode="yyyy/mm/dd"/>
      <alignment horizontal="center" textRotation="0" indent="0" relativeIndent="255" justifyLastLine="0" shrinkToFit="0" readingOrder="0"/>
      <border diagonalUp="0" diagonalDown="0">
        <left/>
        <right style="thin">
          <color indexed="64"/>
        </right>
        <top style="thin">
          <color indexed="64"/>
        </top>
        <bottom style="thin">
          <color indexed="64"/>
        </bottom>
      </border>
    </dxf>
    <dxf>
      <border>
        <top style="medium">
          <color indexed="64"/>
        </top>
        <vertical/>
        <horizontal/>
      </border>
    </dxf>
    <dxf>
      <alignment horizontal="center" vertical="top" textRotation="0" wrapText="0" indent="0" relativeIndent="255" justifyLastLine="0" shrinkToFit="0" readingOrder="0"/>
      <border diagonalUp="0" diagonalDown="0">
        <left style="thin">
          <color indexed="64"/>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textRotation="0" indent="0" relativeIndent="255" justifyLastLine="0" shrinkToFit="0" readingOrder="0"/>
      <border diagonalUp="0" diagonalDown="0" outline="0"/>
    </dxf>
    <dxf>
      <border>
        <bottom style="medium">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1" indent="0" relativeIndent="255" justifyLastLine="0" shrinkToFit="0" readingOrder="0"/>
      <border diagonalUp="0" diagonalDown="0">
        <left style="thin">
          <color indexed="64"/>
        </left>
        <right style="thin">
          <color indexed="64"/>
        </right>
        <top/>
        <bottom/>
      </border>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week ending 2013-01-28</a:t>
            </a:r>
          </a:p>
        </c:rich>
      </c:tx>
      <c:layout>
        <c:manualLayout>
          <c:xMode val="edge"/>
          <c:yMode val="edge"/>
          <c:x val="0.22123914451696541"/>
          <c:y val="1.1049723756906087E-2"/>
        </c:manualLayout>
      </c:layout>
    </c:title>
    <c:plotArea>
      <c:layout>
        <c:manualLayout>
          <c:layoutTarget val="inner"/>
          <c:xMode val="edge"/>
          <c:yMode val="edge"/>
          <c:x val="0.19299839732422874"/>
          <c:y val="0.1403573537047707"/>
          <c:w val="0.78209173705794155"/>
          <c:h val="0.68052806407329169"/>
        </c:manualLayout>
      </c:layout>
      <c:barChart>
        <c:barDir val="col"/>
        <c:grouping val="clustered"/>
        <c:ser>
          <c:idx val="0"/>
          <c:order val="0"/>
          <c:tx>
            <c:strRef>
              <c:f>'Week 1 Stats'!$D$4</c:f>
              <c:strCache>
                <c:ptCount val="1"/>
                <c:pt idx="0">
                  <c:v>Quantity Paraded</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1 Stats'!$D$5:$D$13</c:f>
              <c:numCache>
                <c:formatCode>General</c:formatCode>
                <c:ptCount val="9"/>
                <c:pt idx="0">
                  <c:v>6</c:v>
                </c:pt>
                <c:pt idx="1">
                  <c:v>24</c:v>
                </c:pt>
                <c:pt idx="2">
                  <c:v>15</c:v>
                </c:pt>
                <c:pt idx="3">
                  <c:v>31</c:v>
                </c:pt>
                <c:pt idx="4">
                  <c:v>17</c:v>
                </c:pt>
                <c:pt idx="5">
                  <c:v>19</c:v>
                </c:pt>
                <c:pt idx="6">
                  <c:v>38</c:v>
                </c:pt>
                <c:pt idx="7">
                  <c:v>13</c:v>
                </c:pt>
                <c:pt idx="8">
                  <c:v>14</c:v>
                </c:pt>
              </c:numCache>
            </c:numRef>
          </c:val>
        </c:ser>
        <c:ser>
          <c:idx val="2"/>
          <c:order val="1"/>
          <c:tx>
            <c:strRef>
              <c:f>'Week 1 Stats'!$E$4</c:f>
              <c:strCache>
                <c:ptCount val="1"/>
                <c:pt idx="0">
                  <c:v>Quantity Fitted at Shaft/Area</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1 Stats'!$E$5:$E$13</c:f>
              <c:numCache>
                <c:formatCode>General</c:formatCode>
                <c:ptCount val="9"/>
                <c:pt idx="0">
                  <c:v>3</c:v>
                </c:pt>
                <c:pt idx="1">
                  <c:v>12</c:v>
                </c:pt>
                <c:pt idx="2">
                  <c:v>3</c:v>
                </c:pt>
                <c:pt idx="3">
                  <c:v>18</c:v>
                </c:pt>
                <c:pt idx="4">
                  <c:v>8</c:v>
                </c:pt>
                <c:pt idx="5">
                  <c:v>8</c:v>
                </c:pt>
                <c:pt idx="6">
                  <c:v>12</c:v>
                </c:pt>
                <c:pt idx="7">
                  <c:v>10</c:v>
                </c:pt>
                <c:pt idx="8">
                  <c:v>9</c:v>
                </c:pt>
              </c:numCache>
            </c:numRef>
          </c:val>
        </c:ser>
        <c:ser>
          <c:idx val="3"/>
          <c:order val="2"/>
          <c:tx>
            <c:strRef>
              <c:f>'Week 1 Stats'!$G$4</c:f>
              <c:strCache>
                <c:ptCount val="1"/>
                <c:pt idx="0">
                  <c:v>Quantity Fitted at NC Office</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1 Stats'!$G$5:$G$13</c:f>
              <c:numCache>
                <c:formatCode>General</c:formatCode>
                <c:ptCount val="9"/>
                <c:pt idx="0">
                  <c:v>7</c:v>
                </c:pt>
                <c:pt idx="2">
                  <c:v>9</c:v>
                </c:pt>
                <c:pt idx="3">
                  <c:v>5</c:v>
                </c:pt>
                <c:pt idx="5">
                  <c:v>7</c:v>
                </c:pt>
                <c:pt idx="7">
                  <c:v>4</c:v>
                </c:pt>
              </c:numCache>
            </c:numRef>
          </c:val>
        </c:ser>
        <c:dLbls>
          <c:showVal val="1"/>
        </c:dLbls>
        <c:axId val="83135104"/>
        <c:axId val="83157376"/>
      </c:barChart>
      <c:catAx>
        <c:axId val="83135104"/>
        <c:scaling>
          <c:orientation val="minMax"/>
        </c:scaling>
        <c:axPos val="b"/>
        <c:numFmt formatCode="yyyy\/mm\/dd" sourceLinked="1"/>
        <c:tickLblPos val="nextTo"/>
        <c:txPr>
          <a:bodyPr rot="0" vert="horz"/>
          <a:lstStyle/>
          <a:p>
            <a:pPr>
              <a:defRPr lang="en-ZA"/>
            </a:pPr>
            <a:endParaRPr lang="en-US"/>
          </a:p>
        </c:txPr>
        <c:crossAx val="83157376"/>
        <c:crosses val="autoZero"/>
        <c:auto val="1"/>
        <c:lblAlgn val="ctr"/>
        <c:lblOffset val="100"/>
        <c:tickLblSkip val="1"/>
        <c:tickMarkSkip val="1"/>
      </c:catAx>
      <c:valAx>
        <c:axId val="83157376"/>
        <c:scaling>
          <c:orientation val="minMax"/>
        </c:scaling>
        <c:axPos val="l"/>
        <c:majorGridlines/>
        <c:title>
          <c:tx>
            <c:rich>
              <a:bodyPr/>
              <a:lstStyle/>
              <a:p>
                <a:pPr>
                  <a:defRPr lang="en-ZA"/>
                </a:pPr>
                <a:r>
                  <a:rPr lang="af-ZA"/>
                  <a:t>Qty</a:t>
                </a:r>
              </a:p>
            </c:rich>
          </c:tx>
          <c:layout>
            <c:manualLayout>
              <c:xMode val="edge"/>
              <c:yMode val="edge"/>
              <c:x val="5.8997050147492763E-3"/>
              <c:y val="0.39088426791955116"/>
            </c:manualLayout>
          </c:layout>
        </c:title>
        <c:numFmt formatCode="General" sourceLinked="1"/>
        <c:tickLblPos val="nextTo"/>
        <c:txPr>
          <a:bodyPr rot="0" vert="horz"/>
          <a:lstStyle/>
          <a:p>
            <a:pPr>
              <a:defRPr lang="en-ZA"/>
            </a:pPr>
            <a:endParaRPr lang="en-US"/>
          </a:p>
        </c:txPr>
        <c:crossAx val="83135104"/>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33" r="0.75000000000000133" t="1" header="0.5" footer="0.5"/>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week ending </a:t>
            </a:r>
            <a:r>
              <a:rPr lang="af-ZA" sz="1800" b="1" i="0" u="none" strike="noStrike" baseline="0"/>
              <a:t> 2013-02-10</a:t>
            </a:r>
            <a:endParaRPr lang="af-ZA"/>
          </a:p>
        </c:rich>
      </c:tx>
      <c:layout>
        <c:manualLayout>
          <c:xMode val="edge"/>
          <c:yMode val="edge"/>
          <c:x val="0.24161756407667975"/>
          <c:y val="2.6170798898071636E-2"/>
        </c:manualLayout>
      </c:layout>
    </c:title>
    <c:plotArea>
      <c:layout>
        <c:manualLayout>
          <c:layoutTarget val="inner"/>
          <c:xMode val="edge"/>
          <c:yMode val="edge"/>
          <c:x val="0.36390567591384493"/>
          <c:y val="0.23416009458948694"/>
          <c:w val="0.62130237351143902"/>
          <c:h val="0.64963963963964211"/>
        </c:manualLayout>
      </c:layout>
      <c:barChart>
        <c:barDir val="col"/>
        <c:grouping val="clustered"/>
        <c:ser>
          <c:idx val="0"/>
          <c:order val="0"/>
          <c:tx>
            <c:strRef>
              <c:f>'Week 3 Stats'!$B$27</c:f>
              <c:strCache>
                <c:ptCount val="1"/>
                <c:pt idx="0">
                  <c:v>Shaft / Area</c:v>
                </c:pt>
              </c:strCache>
            </c:strRef>
          </c:tx>
          <c:dLbls>
            <c:txPr>
              <a:bodyPr/>
              <a:lstStyle/>
              <a:p>
                <a:pPr>
                  <a:defRPr lang="en-ZA"/>
                </a:pPr>
                <a:endParaRPr lang="en-US"/>
              </a:p>
            </c:txPr>
            <c:showVal val="1"/>
          </c:dLbls>
          <c:cat>
            <c:strRef>
              <c:f>'Week 3 Stats'!$B$28:$B$33</c:f>
              <c:strCache>
                <c:ptCount val="6"/>
                <c:pt idx="0">
                  <c:v>1#</c:v>
                </c:pt>
                <c:pt idx="1">
                  <c:v>20#</c:v>
                </c:pt>
                <c:pt idx="2">
                  <c:v>2#</c:v>
                </c:pt>
                <c:pt idx="3">
                  <c:v>4#</c:v>
                </c:pt>
                <c:pt idx="4">
                  <c:v>14#</c:v>
                </c:pt>
                <c:pt idx="5">
                  <c:v>7#</c:v>
                </c:pt>
              </c:strCache>
            </c:strRef>
          </c:cat>
          <c:val>
            <c:numRef>
              <c:f>'Week 3 Stats'!$B$28:$B$33</c:f>
              <c:numCache>
                <c:formatCode>General</c:formatCode>
                <c:ptCount val="6"/>
                <c:pt idx="0">
                  <c:v>0</c:v>
                </c:pt>
                <c:pt idx="1">
                  <c:v>0</c:v>
                </c:pt>
                <c:pt idx="2">
                  <c:v>0</c:v>
                </c:pt>
                <c:pt idx="3">
                  <c:v>0</c:v>
                </c:pt>
                <c:pt idx="4">
                  <c:v>0</c:v>
                </c:pt>
                <c:pt idx="5">
                  <c:v>0</c:v>
                </c:pt>
              </c:numCache>
            </c:numRef>
          </c:val>
        </c:ser>
        <c:ser>
          <c:idx val="1"/>
          <c:order val="1"/>
          <c:tx>
            <c:strRef>
              <c:f>'Week 3 Stats'!$C$27</c:f>
              <c:strCache>
                <c:ptCount val="1"/>
                <c:pt idx="0">
                  <c:v>Quantity Collected from Shaft</c:v>
                </c:pt>
              </c:strCache>
            </c:strRef>
          </c:tx>
          <c:dLbls>
            <c:txPr>
              <a:bodyPr/>
              <a:lstStyle/>
              <a:p>
                <a:pPr>
                  <a:defRPr lang="en-ZA"/>
                </a:pPr>
                <a:endParaRPr lang="en-US"/>
              </a:p>
            </c:txPr>
            <c:showVal val="1"/>
          </c:dLbls>
          <c:cat>
            <c:strRef>
              <c:f>'Week 3 Stats'!$B$28:$B$33</c:f>
              <c:strCache>
                <c:ptCount val="6"/>
                <c:pt idx="0">
                  <c:v>1#</c:v>
                </c:pt>
                <c:pt idx="1">
                  <c:v>20#</c:v>
                </c:pt>
                <c:pt idx="2">
                  <c:v>2#</c:v>
                </c:pt>
                <c:pt idx="3">
                  <c:v>4#</c:v>
                </c:pt>
                <c:pt idx="4">
                  <c:v>14#</c:v>
                </c:pt>
                <c:pt idx="5">
                  <c:v>7#</c:v>
                </c:pt>
              </c:strCache>
            </c:strRef>
          </c:cat>
          <c:val>
            <c:numRef>
              <c:f>'Week 3 Stats'!$C$28:$C$33</c:f>
              <c:numCache>
                <c:formatCode>General</c:formatCode>
                <c:ptCount val="6"/>
                <c:pt idx="0">
                  <c:v>8</c:v>
                </c:pt>
                <c:pt idx="1">
                  <c:v>31</c:v>
                </c:pt>
                <c:pt idx="2">
                  <c:v>3</c:v>
                </c:pt>
                <c:pt idx="3">
                  <c:v>11</c:v>
                </c:pt>
                <c:pt idx="4">
                  <c:v>101</c:v>
                </c:pt>
                <c:pt idx="5">
                  <c:v>25</c:v>
                </c:pt>
              </c:numCache>
            </c:numRef>
          </c:val>
        </c:ser>
        <c:ser>
          <c:idx val="2"/>
          <c:order val="2"/>
          <c:tx>
            <c:strRef>
              <c:f>'Week 3 Stats'!$D$27</c:f>
              <c:strCache>
                <c:ptCount val="1"/>
                <c:pt idx="0">
                  <c:v>Quantity employees going on leave and did not hand in their Noise Clippers</c:v>
                </c:pt>
              </c:strCache>
            </c:strRef>
          </c:tx>
          <c:dLbls>
            <c:txPr>
              <a:bodyPr/>
              <a:lstStyle/>
              <a:p>
                <a:pPr>
                  <a:defRPr lang="en-ZA"/>
                </a:pPr>
                <a:endParaRPr lang="en-US"/>
              </a:p>
            </c:txPr>
            <c:showVal val="1"/>
          </c:dLbls>
          <c:cat>
            <c:strRef>
              <c:f>'Week 3 Stats'!$B$28:$B$33</c:f>
              <c:strCache>
                <c:ptCount val="6"/>
                <c:pt idx="0">
                  <c:v>1#</c:v>
                </c:pt>
                <c:pt idx="1">
                  <c:v>20#</c:v>
                </c:pt>
                <c:pt idx="2">
                  <c:v>2#</c:v>
                </c:pt>
                <c:pt idx="3">
                  <c:v>4#</c:v>
                </c:pt>
                <c:pt idx="4">
                  <c:v>14#</c:v>
                </c:pt>
                <c:pt idx="5">
                  <c:v>7#</c:v>
                </c:pt>
              </c:strCache>
            </c:strRef>
          </c:cat>
          <c:val>
            <c:numRef>
              <c:f>'Week 3 Stats'!$D$28:$D$33</c:f>
              <c:numCache>
                <c:formatCode>General</c:formatCode>
                <c:ptCount val="6"/>
                <c:pt idx="0">
                  <c:v>6</c:v>
                </c:pt>
                <c:pt idx="1">
                  <c:v>3</c:v>
                </c:pt>
                <c:pt idx="2">
                  <c:v>1</c:v>
                </c:pt>
                <c:pt idx="3">
                  <c:v>6</c:v>
                </c:pt>
                <c:pt idx="4">
                  <c:v>12</c:v>
                </c:pt>
                <c:pt idx="5">
                  <c:v>4</c:v>
                </c:pt>
              </c:numCache>
            </c:numRef>
          </c:val>
        </c:ser>
        <c:dLbls>
          <c:showVal val="1"/>
        </c:dLbls>
        <c:axId val="84947712"/>
        <c:axId val="84949248"/>
      </c:barChart>
      <c:catAx>
        <c:axId val="84947712"/>
        <c:scaling>
          <c:orientation val="minMax"/>
        </c:scaling>
        <c:axPos val="b"/>
        <c:numFmt formatCode="General" sourceLinked="1"/>
        <c:tickLblPos val="nextTo"/>
        <c:txPr>
          <a:bodyPr rot="0" vert="horz"/>
          <a:lstStyle/>
          <a:p>
            <a:pPr>
              <a:defRPr lang="en-ZA"/>
            </a:pPr>
            <a:endParaRPr lang="en-US"/>
          </a:p>
        </c:txPr>
        <c:crossAx val="84949248"/>
        <c:crosses val="autoZero"/>
        <c:auto val="1"/>
        <c:lblAlgn val="ctr"/>
        <c:lblOffset val="100"/>
        <c:tickLblSkip val="1"/>
        <c:tickMarkSkip val="1"/>
      </c:catAx>
      <c:valAx>
        <c:axId val="84949248"/>
        <c:scaling>
          <c:orientation val="minMax"/>
        </c:scaling>
        <c:axPos val="l"/>
        <c:majorGridlines/>
        <c:title>
          <c:tx>
            <c:rich>
              <a:bodyPr/>
              <a:lstStyle/>
              <a:p>
                <a:pPr>
                  <a:defRPr lang="en-ZA"/>
                </a:pPr>
                <a:r>
                  <a:rPr lang="af-ZA"/>
                  <a:t>Qty</a:t>
                </a:r>
              </a:p>
            </c:rich>
          </c:tx>
          <c:layout>
            <c:manualLayout>
              <c:xMode val="edge"/>
              <c:yMode val="edge"/>
              <c:x val="1.7751479289940877E-2"/>
              <c:y val="0.48760402883523857"/>
            </c:manualLayout>
          </c:layout>
        </c:title>
        <c:numFmt formatCode="General" sourceLinked="1"/>
        <c:tickLblPos val="nextTo"/>
        <c:txPr>
          <a:bodyPr rot="0" vert="horz"/>
          <a:lstStyle/>
          <a:p>
            <a:pPr>
              <a:defRPr lang="en-ZA"/>
            </a:pPr>
            <a:endParaRPr lang="en-US"/>
          </a:p>
        </c:txPr>
        <c:crossAx val="84947712"/>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293E-3"/>
          <c:y val="0.12819607008583386"/>
          <c:w val="0.80296406736140269"/>
          <c:h val="3.2581825920408605E-2"/>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week ending </a:t>
            </a:r>
            <a:r>
              <a:rPr lang="af-ZA" sz="1800" b="1" i="0" u="none" strike="noStrike" baseline="0"/>
              <a:t> 2013-02-10</a:t>
            </a:r>
            <a:endParaRPr lang="af-ZA"/>
          </a:p>
        </c:rich>
      </c:tx>
      <c:layout>
        <c:manualLayout>
          <c:xMode val="edge"/>
          <c:yMode val="edge"/>
          <c:x val="0.24284304047384053"/>
          <c:y val="2.6243093922652012E-2"/>
        </c:manualLayout>
      </c:layout>
    </c:title>
    <c:plotArea>
      <c:layout>
        <c:manualLayout>
          <c:layoutTarget val="inner"/>
          <c:xMode val="edge"/>
          <c:yMode val="edge"/>
          <c:x val="9.1806515301085898E-2"/>
          <c:y val="0.29834274264525956"/>
          <c:w val="0.89437314906219156"/>
          <c:h val="0.61464129850528171"/>
        </c:manualLayout>
      </c:layout>
      <c:barChart>
        <c:barDir val="col"/>
        <c:grouping val="clustered"/>
        <c:ser>
          <c:idx val="0"/>
          <c:order val="0"/>
          <c:tx>
            <c:v>Impressions</c:v>
          </c:tx>
          <c:dLbls>
            <c:txPr>
              <a:bodyPr/>
              <a:lstStyle/>
              <a:p>
                <a:pPr>
                  <a:defRPr lang="en-ZA"/>
                </a:pPr>
                <a:endParaRPr lang="en-US"/>
              </a:p>
            </c:txPr>
            <c:showVal val="1"/>
          </c:dLbls>
          <c:cat>
            <c:multiLvlStrRef>
              <c:f>'Week 1 Stats'!#REF!</c:f>
            </c:multiLvlStrRef>
          </c:cat>
          <c:val>
            <c:numRef>
              <c:f>'Week 3 Stats'!$U$45</c:f>
              <c:numCache>
                <c:formatCode>General</c:formatCode>
                <c:ptCount val="1"/>
                <c:pt idx="0">
                  <c:v>206</c:v>
                </c:pt>
              </c:numCache>
            </c:numRef>
          </c:val>
        </c:ser>
        <c:ser>
          <c:idx val="1"/>
          <c:order val="1"/>
          <c:tx>
            <c:v>Fitments</c:v>
          </c:tx>
          <c:dLbls>
            <c:txPr>
              <a:bodyPr/>
              <a:lstStyle/>
              <a:p>
                <a:pPr>
                  <a:defRPr lang="en-ZA"/>
                </a:pPr>
                <a:endParaRPr lang="en-US"/>
              </a:p>
            </c:txPr>
            <c:showVal val="1"/>
          </c:dLbls>
          <c:cat>
            <c:multiLvlStrRef>
              <c:f>'Week 1 Stats'!#REF!</c:f>
            </c:multiLvlStrRef>
          </c:cat>
          <c:val>
            <c:numRef>
              <c:f>'Week 3 Stats'!$H$11</c:f>
              <c:numCache>
                <c:formatCode>General</c:formatCode>
                <c:ptCount val="1"/>
                <c:pt idx="0">
                  <c:v>122</c:v>
                </c:pt>
              </c:numCache>
            </c:numRef>
          </c:val>
        </c:ser>
        <c:ser>
          <c:idx val="2"/>
          <c:order val="2"/>
          <c:tx>
            <c:v>Maintnenace Fitments</c:v>
          </c:tx>
          <c:dLbls>
            <c:txPr>
              <a:bodyPr/>
              <a:lstStyle/>
              <a:p>
                <a:pPr>
                  <a:defRPr lang="en-ZA"/>
                </a:pPr>
                <a:endParaRPr lang="en-US"/>
              </a:p>
            </c:txPr>
            <c:showVal val="1"/>
          </c:dLbls>
          <c:cat>
            <c:multiLvlStrRef>
              <c:f>'Week 1 Stats'!#REF!</c:f>
            </c:multiLvlStrRef>
          </c:cat>
          <c:val>
            <c:numRef>
              <c:f>'Week 3 Stats'!$E$34</c:f>
              <c:numCache>
                <c:formatCode>General</c:formatCode>
                <c:ptCount val="1"/>
                <c:pt idx="0">
                  <c:v>783</c:v>
                </c:pt>
              </c:numCache>
            </c:numRef>
          </c:val>
        </c:ser>
        <c:ser>
          <c:idx val="3"/>
          <c:order val="3"/>
          <c:tx>
            <c:v>Maintnenace Collected</c:v>
          </c:tx>
          <c:dLbls>
            <c:txPr>
              <a:bodyPr/>
              <a:lstStyle/>
              <a:p>
                <a:pPr>
                  <a:defRPr lang="en-ZA"/>
                </a:pPr>
                <a:endParaRPr lang="en-US"/>
              </a:p>
            </c:txPr>
            <c:showVal val="1"/>
          </c:dLbls>
          <c:cat>
            <c:multiLvlStrRef>
              <c:f>'Week 1 Stats'!#REF!</c:f>
            </c:multiLvlStrRef>
          </c:cat>
          <c:val>
            <c:numRef>
              <c:f>'Week 3 Stats'!$C$34</c:f>
              <c:numCache>
                <c:formatCode>General</c:formatCode>
                <c:ptCount val="1"/>
                <c:pt idx="0">
                  <c:v>179</c:v>
                </c:pt>
              </c:numCache>
            </c:numRef>
          </c:val>
        </c:ser>
        <c:ser>
          <c:idx val="4"/>
          <c:order val="4"/>
          <c:tx>
            <c:v>Contractors</c:v>
          </c:tx>
          <c:dLbls>
            <c:txPr>
              <a:bodyPr/>
              <a:lstStyle/>
              <a:p>
                <a:pPr>
                  <a:defRPr lang="en-ZA"/>
                </a:pPr>
                <a:endParaRPr lang="en-US"/>
              </a:p>
            </c:txPr>
            <c:showVal val="1"/>
          </c:dLbls>
          <c:cat>
            <c:multiLvlStrRef>
              <c:f>'Week 1 Stats'!#REF!</c:f>
            </c:multiLvlStrRef>
          </c:cat>
          <c:val>
            <c:numRef>
              <c:f>'Week 3 Stats'!$B$55</c:f>
              <c:numCache>
                <c:formatCode>General</c:formatCode>
                <c:ptCount val="1"/>
                <c:pt idx="0">
                  <c:v>115</c:v>
                </c:pt>
              </c:numCache>
            </c:numRef>
          </c:val>
        </c:ser>
        <c:ser>
          <c:idx val="5"/>
          <c:order val="5"/>
          <c:tx>
            <c:v>New Recruits</c:v>
          </c:tx>
          <c:dLbls>
            <c:txPr>
              <a:bodyPr/>
              <a:lstStyle/>
              <a:p>
                <a:pPr>
                  <a:defRPr lang="en-ZA"/>
                </a:pPr>
                <a:endParaRPr lang="en-US"/>
              </a:p>
            </c:txPr>
            <c:showVal val="1"/>
          </c:dLbls>
          <c:cat>
            <c:multiLvlStrRef>
              <c:f>'Week 1 Stats'!#REF!</c:f>
            </c:multiLvlStrRef>
          </c:cat>
          <c:val>
            <c:numRef>
              <c:f>'Week 3 Stats'!$D$55</c:f>
              <c:numCache>
                <c:formatCode>General</c:formatCode>
                <c:ptCount val="1"/>
                <c:pt idx="0">
                  <c:v>10</c:v>
                </c:pt>
              </c:numCache>
            </c:numRef>
          </c:val>
        </c:ser>
        <c:ser>
          <c:idx val="6"/>
          <c:order val="6"/>
          <c:tx>
            <c:v>Employees Not Paraded</c:v>
          </c:tx>
          <c:dLbls>
            <c:txPr>
              <a:bodyPr/>
              <a:lstStyle/>
              <a:p>
                <a:pPr>
                  <a:defRPr lang="en-ZA"/>
                </a:pPr>
                <a:endParaRPr lang="en-US"/>
              </a:p>
            </c:txPr>
            <c:showVal val="1"/>
          </c:dLbls>
          <c:cat>
            <c:multiLvlStrRef>
              <c:f>'Week 1 Stats'!#REF!</c:f>
            </c:multiLvlStrRef>
          </c:cat>
          <c:val>
            <c:numRef>
              <c:f>'Week 3 Stats'!$I$23</c:f>
              <c:numCache>
                <c:formatCode>General</c:formatCode>
                <c:ptCount val="1"/>
                <c:pt idx="0">
                  <c:v>142</c:v>
                </c:pt>
              </c:numCache>
            </c:numRef>
          </c:val>
        </c:ser>
        <c:ser>
          <c:idx val="7"/>
          <c:order val="7"/>
          <c:tx>
            <c:v>2 Year Claim</c:v>
          </c:tx>
          <c:dLbls>
            <c:txPr>
              <a:bodyPr/>
              <a:lstStyle/>
              <a:p>
                <a:pPr>
                  <a:defRPr lang="en-ZA"/>
                </a:pPr>
                <a:endParaRPr lang="en-US"/>
              </a:p>
            </c:txPr>
            <c:showVal val="1"/>
          </c:dLbls>
          <c:cat>
            <c:multiLvlStrRef>
              <c:f>'Week 1 Stats'!#REF!</c:f>
            </c:multiLvlStrRef>
          </c:cat>
          <c:val>
            <c:numRef>
              <c:f>'Week 3 Stats'!$F$55</c:f>
              <c:numCache>
                <c:formatCode>General</c:formatCode>
                <c:ptCount val="1"/>
                <c:pt idx="0">
                  <c:v>68</c:v>
                </c:pt>
              </c:numCache>
            </c:numRef>
          </c:val>
        </c:ser>
        <c:ser>
          <c:idx val="8"/>
          <c:order val="8"/>
          <c:tx>
            <c:v>5 Year Claim</c:v>
          </c:tx>
          <c:dLbls>
            <c:txPr>
              <a:bodyPr/>
              <a:lstStyle/>
              <a:p>
                <a:pPr>
                  <a:defRPr lang="en-ZA"/>
                </a:pPr>
                <a:endParaRPr lang="en-US"/>
              </a:p>
            </c:txPr>
            <c:showVal val="1"/>
          </c:dLbls>
          <c:cat>
            <c:multiLvlStrRef>
              <c:f>'Week 1 Stats'!#REF!</c:f>
            </c:multiLvlStrRef>
          </c:cat>
          <c:val>
            <c:numRef>
              <c:f>'Week 3 Stats'!$H$55</c:f>
              <c:numCache>
                <c:formatCode>General</c:formatCode>
                <c:ptCount val="1"/>
                <c:pt idx="0">
                  <c:v>0</c:v>
                </c:pt>
              </c:numCache>
            </c:numRef>
          </c:val>
        </c:ser>
        <c:dLbls>
          <c:showVal val="1"/>
        </c:dLbls>
        <c:axId val="85034880"/>
        <c:axId val="85036416"/>
      </c:barChart>
      <c:catAx>
        <c:axId val="85034880"/>
        <c:scaling>
          <c:orientation val="minMax"/>
        </c:scaling>
        <c:delete val="1"/>
        <c:axPos val="b"/>
        <c:numFmt formatCode="yyyy\/mm\/dd" sourceLinked="1"/>
        <c:tickLblPos val="none"/>
        <c:crossAx val="85036416"/>
        <c:crosses val="autoZero"/>
        <c:auto val="1"/>
        <c:lblAlgn val="ctr"/>
        <c:lblOffset val="100"/>
      </c:catAx>
      <c:valAx>
        <c:axId val="85036416"/>
        <c:scaling>
          <c:orientation val="minMax"/>
        </c:scaling>
        <c:axPos val="l"/>
        <c:majorGridlines/>
        <c:title>
          <c:tx>
            <c:rich>
              <a:bodyPr/>
              <a:lstStyle/>
              <a:p>
                <a:pPr>
                  <a:defRPr lang="en-ZA"/>
                </a:pPr>
                <a:r>
                  <a:rPr lang="af-ZA"/>
                  <a:t>Qty</a:t>
                </a:r>
              </a:p>
            </c:rich>
          </c:tx>
          <c:layout>
            <c:manualLayout>
              <c:xMode val="edge"/>
              <c:yMode val="edge"/>
              <c:x val="1.5794669299111583E-2"/>
              <c:y val="0.57872971679645202"/>
            </c:manualLayout>
          </c:layout>
        </c:title>
        <c:numFmt formatCode="General" sourceLinked="1"/>
        <c:tickLblPos val="nextTo"/>
        <c:txPr>
          <a:bodyPr rot="0" vert="horz"/>
          <a:lstStyle/>
          <a:p>
            <a:pPr>
              <a:defRPr lang="en-ZA"/>
            </a:pPr>
            <a:endParaRPr lang="en-US"/>
          </a:p>
        </c:txPr>
        <c:crossAx val="85034880"/>
        <c:crosses val="autoZero"/>
        <c:crossBetween val="between"/>
      </c:valAx>
    </c:plotArea>
    <c:legend>
      <c:legendPos val="t"/>
      <c:layout>
        <c:manualLayout>
          <c:xMode val="edge"/>
          <c:yMode val="edge"/>
          <c:x val="0.19249753208292275"/>
          <c:y val="0.14502776931889039"/>
          <c:w val="0.6920039486673244"/>
          <c:h val="0.11602224445701227"/>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 week ending </a:t>
            </a:r>
            <a:r>
              <a:rPr lang="af-ZA" baseline="0"/>
              <a:t> 2013</a:t>
            </a:r>
            <a:r>
              <a:rPr lang="af-ZA"/>
              <a:t>-02-10</a:t>
            </a:r>
          </a:p>
        </c:rich>
      </c:tx>
      <c:layout>
        <c:manualLayout>
          <c:xMode val="edge"/>
          <c:yMode val="edge"/>
          <c:x val="0.20098532511022396"/>
          <c:y val="9.655172413793104E-3"/>
        </c:manualLayout>
      </c:layout>
      <c:spPr>
        <a:noFill/>
        <a:ln w="25400">
          <a:noFill/>
        </a:ln>
      </c:spPr>
    </c:title>
    <c:view3D>
      <c:perspective val="0"/>
    </c:view3D>
    <c:plotArea>
      <c:layout>
        <c:manualLayout>
          <c:layoutTarget val="inner"/>
          <c:xMode val="edge"/>
          <c:yMode val="edge"/>
          <c:x val="6.5682479345254346E-3"/>
          <c:y val="0.31720712177554322"/>
          <c:w val="0.98292272086678756"/>
          <c:h val="0.58276453602974854"/>
        </c:manualLayout>
      </c:layout>
      <c:pie3DChart>
        <c:varyColors val="1"/>
        <c:ser>
          <c:idx val="0"/>
          <c:order val="0"/>
          <c:tx>
            <c:strRef>
              <c:f>'Week 3 Stats'!$C$16:$H$16</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3 Stats'!$C$16:$H$16</c:f>
              <c:strCache>
                <c:ptCount val="6"/>
                <c:pt idx="0">
                  <c:v>Leave</c:v>
                </c:pt>
                <c:pt idx="1">
                  <c:v>Discharged</c:v>
                </c:pt>
                <c:pt idx="2">
                  <c:v>Transferred to other Shaft / Area</c:v>
                </c:pt>
                <c:pt idx="3">
                  <c:v>Sick Leave</c:v>
                </c:pt>
                <c:pt idx="4">
                  <c:v>Training</c:v>
                </c:pt>
                <c:pt idx="5">
                  <c:v>Other</c:v>
                </c:pt>
              </c:strCache>
            </c:strRef>
          </c:cat>
          <c:val>
            <c:numRef>
              <c:f>'Week 3 Stats'!$C$23:$H$23</c:f>
              <c:numCache>
                <c:formatCode>General</c:formatCode>
                <c:ptCount val="6"/>
                <c:pt idx="0">
                  <c:v>6</c:v>
                </c:pt>
                <c:pt idx="1">
                  <c:v>70</c:v>
                </c:pt>
                <c:pt idx="2">
                  <c:v>31</c:v>
                </c:pt>
                <c:pt idx="3">
                  <c:v>5</c:v>
                </c:pt>
                <c:pt idx="4">
                  <c:v>20</c:v>
                </c:pt>
                <c:pt idx="5">
                  <c:v>10</c:v>
                </c:pt>
              </c:numCache>
            </c:numRef>
          </c:val>
        </c:ser>
        <c:dLbls>
          <c:showLegendKey val="1"/>
          <c:showPercent val="1"/>
        </c:dLbls>
      </c:pie3DChart>
      <c:spPr>
        <a:noFill/>
        <a:ln w="25400">
          <a:noFill/>
        </a:ln>
      </c:spPr>
    </c:plotArea>
    <c:legend>
      <c:legendPos val="t"/>
      <c:layout>
        <c:manualLayout>
          <c:xMode val="edge"/>
          <c:yMode val="edge"/>
          <c:x val="0.10771756978653553"/>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week ending 2013-02-17</a:t>
            </a:r>
          </a:p>
        </c:rich>
      </c:tx>
      <c:layout>
        <c:manualLayout>
          <c:xMode val="edge"/>
          <c:yMode val="edge"/>
          <c:x val="0.22123914451696547"/>
          <c:y val="1.1049723756906087E-2"/>
        </c:manualLayout>
      </c:layout>
    </c:title>
    <c:plotArea>
      <c:layout>
        <c:manualLayout>
          <c:layoutTarget val="inner"/>
          <c:xMode val="edge"/>
          <c:yMode val="edge"/>
          <c:x val="0.19299839732422883"/>
          <c:y val="0.1403573537047707"/>
          <c:w val="0.78209173705794155"/>
          <c:h val="0.68052806407329169"/>
        </c:manualLayout>
      </c:layout>
      <c:barChart>
        <c:barDir val="col"/>
        <c:grouping val="clustered"/>
        <c:ser>
          <c:idx val="0"/>
          <c:order val="0"/>
          <c:tx>
            <c:strRef>
              <c:f>'Week 4 Stats'!$D$4</c:f>
              <c:strCache>
                <c:ptCount val="1"/>
                <c:pt idx="0">
                  <c:v>Quantity Paraded</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4 Stats'!$D$5:$D$14</c:f>
              <c:numCache>
                <c:formatCode>General</c:formatCode>
                <c:ptCount val="10"/>
                <c:pt idx="0">
                  <c:v>12</c:v>
                </c:pt>
                <c:pt idx="1">
                  <c:v>51</c:v>
                </c:pt>
                <c:pt idx="2">
                  <c:v>68</c:v>
                </c:pt>
                <c:pt idx="3">
                  <c:v>62</c:v>
                </c:pt>
                <c:pt idx="4">
                  <c:v>56</c:v>
                </c:pt>
                <c:pt idx="5">
                  <c:v>30</c:v>
                </c:pt>
                <c:pt idx="6">
                  <c:v>13</c:v>
                </c:pt>
                <c:pt idx="7">
                  <c:v>67</c:v>
                </c:pt>
                <c:pt idx="8">
                  <c:v>5</c:v>
                </c:pt>
                <c:pt idx="9">
                  <c:v>42</c:v>
                </c:pt>
              </c:numCache>
            </c:numRef>
          </c:val>
        </c:ser>
        <c:ser>
          <c:idx val="2"/>
          <c:order val="1"/>
          <c:tx>
            <c:strRef>
              <c:f>'Week 4 Stats'!$E$4</c:f>
              <c:strCache>
                <c:ptCount val="1"/>
                <c:pt idx="0">
                  <c:v>Quantity Fitted at Shaft/Area</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4 Stats'!$E$5:$E$14</c:f>
              <c:numCache>
                <c:formatCode>General</c:formatCode>
                <c:ptCount val="10"/>
                <c:pt idx="0">
                  <c:v>16</c:v>
                </c:pt>
                <c:pt idx="1">
                  <c:v>25</c:v>
                </c:pt>
                <c:pt idx="2">
                  <c:v>12</c:v>
                </c:pt>
                <c:pt idx="3">
                  <c:v>34</c:v>
                </c:pt>
                <c:pt idx="4">
                  <c:v>32</c:v>
                </c:pt>
                <c:pt idx="5">
                  <c:v>12</c:v>
                </c:pt>
                <c:pt idx="6">
                  <c:v>8</c:v>
                </c:pt>
                <c:pt idx="7">
                  <c:v>36</c:v>
                </c:pt>
                <c:pt idx="8">
                  <c:v>1</c:v>
                </c:pt>
                <c:pt idx="9">
                  <c:v>37</c:v>
                </c:pt>
              </c:numCache>
            </c:numRef>
          </c:val>
        </c:ser>
        <c:ser>
          <c:idx val="3"/>
          <c:order val="2"/>
          <c:tx>
            <c:strRef>
              <c:f>'Week 4 Stats'!$G$4</c:f>
              <c:strCache>
                <c:ptCount val="1"/>
                <c:pt idx="0">
                  <c:v>Quantity Fitted at NC Office</c:v>
                </c:pt>
              </c:strCache>
            </c:strRef>
          </c:tx>
          <c:dLbls>
            <c:txPr>
              <a:bodyPr/>
              <a:lstStyle/>
              <a:p>
                <a:pPr>
                  <a:defRPr lang="en-ZA"/>
                </a:pPr>
                <a:endParaRPr lang="en-US"/>
              </a:p>
            </c:txPr>
            <c:showVal val="1"/>
          </c:dLbls>
          <c:cat>
            <c:multiLvlStrRef>
              <c:f>'Week 1 Stats'!$A$5:$B$13</c:f>
              <c:multiLvlStrCache>
                <c:ptCount val="9"/>
                <c:lvl>
                  <c:pt idx="0">
                    <c:v>2#</c:v>
                  </c:pt>
                  <c:pt idx="1">
                    <c:v>1#</c:v>
                  </c:pt>
                  <c:pt idx="2">
                    <c:v>20#</c:v>
                  </c:pt>
                  <c:pt idx="3">
                    <c:v>11C#</c:v>
                  </c:pt>
                  <c:pt idx="4">
                    <c:v>4#</c:v>
                  </c:pt>
                  <c:pt idx="5">
                    <c:v>6#</c:v>
                  </c:pt>
                  <c:pt idx="6">
                    <c:v>14#</c:v>
                  </c:pt>
                  <c:pt idx="7">
                    <c:v>9#</c:v>
                  </c:pt>
                  <c:pt idx="8">
                    <c:v>10#</c:v>
                  </c:pt>
                </c:lvl>
                <c:lvl>
                  <c:pt idx="0">
                    <c:v>2013/01/21</c:v>
                  </c:pt>
                  <c:pt idx="1">
                    <c:v>2013/01/21</c:v>
                  </c:pt>
                  <c:pt idx="2">
                    <c:v>2013/01/22</c:v>
                  </c:pt>
                  <c:pt idx="3">
                    <c:v>2013/01/23</c:v>
                  </c:pt>
                  <c:pt idx="4">
                    <c:v>2013/01/23</c:v>
                  </c:pt>
                  <c:pt idx="5">
                    <c:v>2013/01/24</c:v>
                  </c:pt>
                  <c:pt idx="6">
                    <c:v>2013/01/24</c:v>
                  </c:pt>
                  <c:pt idx="7">
                    <c:v>2013/01/25</c:v>
                  </c:pt>
                  <c:pt idx="8">
                    <c:v>2013/01/25</c:v>
                  </c:pt>
                </c:lvl>
              </c:multiLvlStrCache>
            </c:multiLvlStrRef>
          </c:cat>
          <c:val>
            <c:numRef>
              <c:f>'Week 4 Stats'!$G$5:$G$14</c:f>
              <c:numCache>
                <c:formatCode>General</c:formatCode>
                <c:ptCount val="10"/>
                <c:pt idx="0">
                  <c:v>10</c:v>
                </c:pt>
                <c:pt idx="1">
                  <c:v>9</c:v>
                </c:pt>
                <c:pt idx="3">
                  <c:v>7</c:v>
                </c:pt>
                <c:pt idx="5">
                  <c:v>8</c:v>
                </c:pt>
                <c:pt idx="9">
                  <c:v>4</c:v>
                </c:pt>
              </c:numCache>
            </c:numRef>
          </c:val>
        </c:ser>
        <c:dLbls>
          <c:showVal val="1"/>
        </c:dLbls>
        <c:axId val="85620608"/>
        <c:axId val="85622144"/>
      </c:barChart>
      <c:catAx>
        <c:axId val="85620608"/>
        <c:scaling>
          <c:orientation val="minMax"/>
        </c:scaling>
        <c:axPos val="b"/>
        <c:numFmt formatCode="yyyy\/mm\/dd" sourceLinked="1"/>
        <c:tickLblPos val="nextTo"/>
        <c:txPr>
          <a:bodyPr rot="0" vert="horz"/>
          <a:lstStyle/>
          <a:p>
            <a:pPr>
              <a:defRPr lang="en-ZA"/>
            </a:pPr>
            <a:endParaRPr lang="en-US"/>
          </a:p>
        </c:txPr>
        <c:crossAx val="85622144"/>
        <c:crosses val="autoZero"/>
        <c:auto val="1"/>
        <c:lblAlgn val="ctr"/>
        <c:lblOffset val="100"/>
        <c:tickLblSkip val="1"/>
        <c:tickMarkSkip val="1"/>
      </c:catAx>
      <c:valAx>
        <c:axId val="85622144"/>
        <c:scaling>
          <c:orientation val="minMax"/>
        </c:scaling>
        <c:axPos val="l"/>
        <c:majorGridlines/>
        <c:title>
          <c:tx>
            <c:rich>
              <a:bodyPr/>
              <a:lstStyle/>
              <a:p>
                <a:pPr>
                  <a:defRPr lang="en-ZA"/>
                </a:pPr>
                <a:r>
                  <a:rPr lang="af-ZA"/>
                  <a:t>Qty</a:t>
                </a:r>
              </a:p>
            </c:rich>
          </c:tx>
          <c:layout>
            <c:manualLayout>
              <c:xMode val="edge"/>
              <c:yMode val="edge"/>
              <c:x val="5.8997050147492781E-3"/>
              <c:y val="0.39088426791955161"/>
            </c:manualLayout>
          </c:layout>
        </c:title>
        <c:numFmt formatCode="General" sourceLinked="1"/>
        <c:tickLblPos val="nextTo"/>
        <c:txPr>
          <a:bodyPr rot="0" vert="horz"/>
          <a:lstStyle/>
          <a:p>
            <a:pPr>
              <a:defRPr lang="en-ZA"/>
            </a:pPr>
            <a:endParaRPr lang="en-US"/>
          </a:p>
        </c:txPr>
        <c:crossAx val="85620608"/>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55" r="0.75000000000000155" t="1" header="0.5" footer="0.5"/>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week ending </a:t>
            </a:r>
            <a:r>
              <a:rPr lang="af-ZA" sz="1800" b="1" i="0" u="none" strike="noStrike" baseline="0"/>
              <a:t>2013-02-17</a:t>
            </a:r>
            <a:endParaRPr lang="af-ZA"/>
          </a:p>
        </c:rich>
      </c:tx>
      <c:layout>
        <c:manualLayout>
          <c:xMode val="edge"/>
          <c:yMode val="edge"/>
          <c:x val="0.24161756407667975"/>
          <c:y val="2.6170798898071636E-2"/>
        </c:manualLayout>
      </c:layout>
    </c:title>
    <c:plotArea>
      <c:layout>
        <c:manualLayout>
          <c:layoutTarget val="inner"/>
          <c:xMode val="edge"/>
          <c:yMode val="edge"/>
          <c:x val="0.36390567591384493"/>
          <c:y val="0.23416009458948694"/>
          <c:w val="0.62130237351143902"/>
          <c:h val="0.64963963963964211"/>
        </c:manualLayout>
      </c:layout>
      <c:barChart>
        <c:barDir val="col"/>
        <c:grouping val="clustered"/>
        <c:ser>
          <c:idx val="0"/>
          <c:order val="0"/>
          <c:tx>
            <c:strRef>
              <c:f>'Week 4 Stats'!$B$35</c:f>
              <c:strCache>
                <c:ptCount val="1"/>
                <c:pt idx="0">
                  <c:v>Shaft / Area</c:v>
                </c:pt>
              </c:strCache>
            </c:strRef>
          </c:tx>
          <c:dLbls>
            <c:txPr>
              <a:bodyPr/>
              <a:lstStyle/>
              <a:p>
                <a:pPr>
                  <a:defRPr lang="en-ZA"/>
                </a:pPr>
                <a:endParaRPr lang="en-US"/>
              </a:p>
            </c:txPr>
            <c:showVal val="1"/>
          </c:dLbls>
          <c:cat>
            <c:strRef>
              <c:f>'Week 4 Stats'!$B$36:$B$44</c:f>
              <c:strCache>
                <c:ptCount val="9"/>
                <c:pt idx="0">
                  <c:v>10#</c:v>
                </c:pt>
                <c:pt idx="1">
                  <c:v>E&amp;F</c:v>
                </c:pt>
                <c:pt idx="2">
                  <c:v>7#</c:v>
                </c:pt>
                <c:pt idx="3">
                  <c:v>11#</c:v>
                </c:pt>
                <c:pt idx="4">
                  <c:v>11C#</c:v>
                </c:pt>
                <c:pt idx="5">
                  <c:v>1#</c:v>
                </c:pt>
                <c:pt idx="6">
                  <c:v>9#</c:v>
                </c:pt>
                <c:pt idx="7">
                  <c:v>14#</c:v>
                </c:pt>
                <c:pt idx="8">
                  <c:v>12#</c:v>
                </c:pt>
              </c:strCache>
            </c:strRef>
          </c:cat>
          <c:val>
            <c:numRef>
              <c:f>'Week 4 Stats'!$B$36:$B$44</c:f>
              <c:numCache>
                <c:formatCode>General</c:formatCode>
                <c:ptCount val="9"/>
                <c:pt idx="0">
                  <c:v>0</c:v>
                </c:pt>
                <c:pt idx="1">
                  <c:v>0</c:v>
                </c:pt>
                <c:pt idx="2">
                  <c:v>0</c:v>
                </c:pt>
                <c:pt idx="3">
                  <c:v>0</c:v>
                </c:pt>
                <c:pt idx="4">
                  <c:v>0</c:v>
                </c:pt>
                <c:pt idx="5">
                  <c:v>0</c:v>
                </c:pt>
                <c:pt idx="6">
                  <c:v>0</c:v>
                </c:pt>
                <c:pt idx="7">
                  <c:v>0</c:v>
                </c:pt>
                <c:pt idx="8">
                  <c:v>0</c:v>
                </c:pt>
              </c:numCache>
            </c:numRef>
          </c:val>
        </c:ser>
        <c:ser>
          <c:idx val="1"/>
          <c:order val="1"/>
          <c:tx>
            <c:strRef>
              <c:f>'Week 4 Stats'!$C$35</c:f>
              <c:strCache>
                <c:ptCount val="1"/>
                <c:pt idx="0">
                  <c:v>Quantity Collected from Shaft</c:v>
                </c:pt>
              </c:strCache>
            </c:strRef>
          </c:tx>
          <c:dLbls>
            <c:txPr>
              <a:bodyPr/>
              <a:lstStyle/>
              <a:p>
                <a:pPr>
                  <a:defRPr lang="en-ZA"/>
                </a:pPr>
                <a:endParaRPr lang="en-US"/>
              </a:p>
            </c:txPr>
            <c:showVal val="1"/>
          </c:dLbls>
          <c:cat>
            <c:strRef>
              <c:f>'Week 4 Stats'!$B$36:$B$44</c:f>
              <c:strCache>
                <c:ptCount val="9"/>
                <c:pt idx="0">
                  <c:v>10#</c:v>
                </c:pt>
                <c:pt idx="1">
                  <c:v>E&amp;F</c:v>
                </c:pt>
                <c:pt idx="2">
                  <c:v>7#</c:v>
                </c:pt>
                <c:pt idx="3">
                  <c:v>11#</c:v>
                </c:pt>
                <c:pt idx="4">
                  <c:v>11C#</c:v>
                </c:pt>
                <c:pt idx="5">
                  <c:v>1#</c:v>
                </c:pt>
                <c:pt idx="6">
                  <c:v>9#</c:v>
                </c:pt>
                <c:pt idx="7">
                  <c:v>14#</c:v>
                </c:pt>
                <c:pt idx="8">
                  <c:v>12#</c:v>
                </c:pt>
              </c:strCache>
            </c:strRef>
          </c:cat>
          <c:val>
            <c:numRef>
              <c:f>'Week 4 Stats'!$C$36:$C$44</c:f>
              <c:numCache>
                <c:formatCode>General</c:formatCode>
                <c:ptCount val="9"/>
                <c:pt idx="0">
                  <c:v>24</c:v>
                </c:pt>
                <c:pt idx="1">
                  <c:v>4</c:v>
                </c:pt>
                <c:pt idx="2">
                  <c:v>13</c:v>
                </c:pt>
                <c:pt idx="3">
                  <c:v>4</c:v>
                </c:pt>
                <c:pt idx="4">
                  <c:v>7</c:v>
                </c:pt>
                <c:pt idx="5">
                  <c:v>11</c:v>
                </c:pt>
                <c:pt idx="6">
                  <c:v>11</c:v>
                </c:pt>
                <c:pt idx="7">
                  <c:v>9</c:v>
                </c:pt>
                <c:pt idx="8">
                  <c:v>5</c:v>
                </c:pt>
              </c:numCache>
            </c:numRef>
          </c:val>
        </c:ser>
        <c:ser>
          <c:idx val="2"/>
          <c:order val="2"/>
          <c:tx>
            <c:strRef>
              <c:f>'Week 4 Stats'!$D$35</c:f>
              <c:strCache>
                <c:ptCount val="1"/>
                <c:pt idx="0">
                  <c:v>Quantity employees going on leave and did not hand in their Noise Clippers</c:v>
                </c:pt>
              </c:strCache>
            </c:strRef>
          </c:tx>
          <c:dLbls>
            <c:txPr>
              <a:bodyPr/>
              <a:lstStyle/>
              <a:p>
                <a:pPr>
                  <a:defRPr lang="en-ZA"/>
                </a:pPr>
                <a:endParaRPr lang="en-US"/>
              </a:p>
            </c:txPr>
            <c:showVal val="1"/>
          </c:dLbls>
          <c:cat>
            <c:strRef>
              <c:f>'Week 4 Stats'!$B$36:$B$44</c:f>
              <c:strCache>
                <c:ptCount val="9"/>
                <c:pt idx="0">
                  <c:v>10#</c:v>
                </c:pt>
                <c:pt idx="1">
                  <c:v>E&amp;F</c:v>
                </c:pt>
                <c:pt idx="2">
                  <c:v>7#</c:v>
                </c:pt>
                <c:pt idx="3">
                  <c:v>11#</c:v>
                </c:pt>
                <c:pt idx="4">
                  <c:v>11C#</c:v>
                </c:pt>
                <c:pt idx="5">
                  <c:v>1#</c:v>
                </c:pt>
                <c:pt idx="6">
                  <c:v>9#</c:v>
                </c:pt>
                <c:pt idx="7">
                  <c:v>14#</c:v>
                </c:pt>
                <c:pt idx="8">
                  <c:v>12#</c:v>
                </c:pt>
              </c:strCache>
            </c:strRef>
          </c:cat>
          <c:val>
            <c:numRef>
              <c:f>'Week 4 Stats'!$D$36:$D$44</c:f>
              <c:numCache>
                <c:formatCode>General</c:formatCode>
                <c:ptCount val="9"/>
                <c:pt idx="0">
                  <c:v>4</c:v>
                </c:pt>
                <c:pt idx="1">
                  <c:v>1</c:v>
                </c:pt>
                <c:pt idx="2">
                  <c:v>5</c:v>
                </c:pt>
                <c:pt idx="3">
                  <c:v>2</c:v>
                </c:pt>
                <c:pt idx="4">
                  <c:v>3</c:v>
                </c:pt>
                <c:pt idx="5">
                  <c:v>6</c:v>
                </c:pt>
                <c:pt idx="6">
                  <c:v>4</c:v>
                </c:pt>
                <c:pt idx="7">
                  <c:v>6</c:v>
                </c:pt>
                <c:pt idx="8">
                  <c:v>0</c:v>
                </c:pt>
              </c:numCache>
            </c:numRef>
          </c:val>
        </c:ser>
        <c:dLbls>
          <c:showVal val="1"/>
        </c:dLbls>
        <c:axId val="85663104"/>
        <c:axId val="85709952"/>
      </c:barChart>
      <c:catAx>
        <c:axId val="85663104"/>
        <c:scaling>
          <c:orientation val="minMax"/>
        </c:scaling>
        <c:axPos val="b"/>
        <c:numFmt formatCode="General" sourceLinked="1"/>
        <c:tickLblPos val="nextTo"/>
        <c:txPr>
          <a:bodyPr rot="0" vert="horz"/>
          <a:lstStyle/>
          <a:p>
            <a:pPr>
              <a:defRPr lang="en-ZA"/>
            </a:pPr>
            <a:endParaRPr lang="en-US"/>
          </a:p>
        </c:txPr>
        <c:crossAx val="85709952"/>
        <c:crosses val="autoZero"/>
        <c:auto val="1"/>
        <c:lblAlgn val="ctr"/>
        <c:lblOffset val="100"/>
        <c:tickLblSkip val="1"/>
        <c:tickMarkSkip val="1"/>
      </c:catAx>
      <c:valAx>
        <c:axId val="85709952"/>
        <c:scaling>
          <c:orientation val="minMax"/>
        </c:scaling>
        <c:axPos val="l"/>
        <c:majorGridlines/>
        <c:title>
          <c:tx>
            <c:rich>
              <a:bodyPr/>
              <a:lstStyle/>
              <a:p>
                <a:pPr>
                  <a:defRPr lang="en-ZA"/>
                </a:pPr>
                <a:r>
                  <a:rPr lang="af-ZA"/>
                  <a:t>Qty</a:t>
                </a:r>
              </a:p>
            </c:rich>
          </c:tx>
          <c:layout>
            <c:manualLayout>
              <c:xMode val="edge"/>
              <c:yMode val="edge"/>
              <c:x val="1.7751479289940877E-2"/>
              <c:y val="0.48760402883523857"/>
            </c:manualLayout>
          </c:layout>
        </c:title>
        <c:numFmt formatCode="General" sourceLinked="1"/>
        <c:tickLblPos val="nextTo"/>
        <c:txPr>
          <a:bodyPr rot="0" vert="horz"/>
          <a:lstStyle/>
          <a:p>
            <a:pPr>
              <a:defRPr lang="en-ZA"/>
            </a:pPr>
            <a:endParaRPr lang="en-US"/>
          </a:p>
        </c:txPr>
        <c:crossAx val="85663104"/>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293E-3"/>
          <c:y val="0.12819607008583386"/>
          <c:w val="0.80296406736140269"/>
          <c:h val="3.2581825920408605E-2"/>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week ending </a:t>
            </a:r>
            <a:r>
              <a:rPr lang="af-ZA" sz="1800" b="1" i="0" u="none" strike="noStrike" baseline="0"/>
              <a:t>2013-02-17</a:t>
            </a:r>
            <a:endParaRPr lang="af-ZA"/>
          </a:p>
        </c:rich>
      </c:tx>
      <c:layout>
        <c:manualLayout>
          <c:xMode val="edge"/>
          <c:yMode val="edge"/>
          <c:x val="0.24284304047384053"/>
          <c:y val="2.6243093922652012E-2"/>
        </c:manualLayout>
      </c:layout>
    </c:title>
    <c:plotArea>
      <c:layout>
        <c:manualLayout>
          <c:layoutTarget val="inner"/>
          <c:xMode val="edge"/>
          <c:yMode val="edge"/>
          <c:x val="9.1806515301085898E-2"/>
          <c:y val="0.29834274264525956"/>
          <c:w val="0.89437314906219156"/>
          <c:h val="0.61464129850528171"/>
        </c:manualLayout>
      </c:layout>
      <c:barChart>
        <c:barDir val="col"/>
        <c:grouping val="clustered"/>
        <c:ser>
          <c:idx val="0"/>
          <c:order val="0"/>
          <c:tx>
            <c:v>Impressions</c:v>
          </c:tx>
          <c:dLbls>
            <c:txPr>
              <a:bodyPr/>
              <a:lstStyle/>
              <a:p>
                <a:pPr>
                  <a:defRPr lang="en-ZA"/>
                </a:pPr>
                <a:endParaRPr lang="en-US"/>
              </a:p>
            </c:txPr>
            <c:showVal val="1"/>
          </c:dLbls>
          <c:cat>
            <c:multiLvlStrRef>
              <c:f>'Week 1 Stats'!#REF!</c:f>
            </c:multiLvlStrRef>
          </c:cat>
          <c:val>
            <c:numRef>
              <c:f>'Week 4 Stats'!$U$56</c:f>
              <c:numCache>
                <c:formatCode>General</c:formatCode>
                <c:ptCount val="1"/>
                <c:pt idx="0">
                  <c:v>155</c:v>
                </c:pt>
              </c:numCache>
            </c:numRef>
          </c:val>
        </c:ser>
        <c:ser>
          <c:idx val="1"/>
          <c:order val="1"/>
          <c:tx>
            <c:v>Fitments</c:v>
          </c:tx>
          <c:dLbls>
            <c:txPr>
              <a:bodyPr/>
              <a:lstStyle/>
              <a:p>
                <a:pPr>
                  <a:defRPr lang="en-ZA"/>
                </a:pPr>
                <a:endParaRPr lang="en-US"/>
              </a:p>
            </c:txPr>
            <c:showVal val="1"/>
          </c:dLbls>
          <c:cat>
            <c:multiLvlStrRef>
              <c:f>'Week 1 Stats'!#REF!</c:f>
            </c:multiLvlStrRef>
          </c:cat>
          <c:val>
            <c:numRef>
              <c:f>'Week 4 Stats'!$H$15</c:f>
              <c:numCache>
                <c:formatCode>General</c:formatCode>
                <c:ptCount val="1"/>
                <c:pt idx="0">
                  <c:v>251</c:v>
                </c:pt>
              </c:numCache>
            </c:numRef>
          </c:val>
        </c:ser>
        <c:ser>
          <c:idx val="2"/>
          <c:order val="2"/>
          <c:tx>
            <c:v>Maintnenace Fitments</c:v>
          </c:tx>
          <c:dLbls>
            <c:txPr>
              <a:bodyPr/>
              <a:lstStyle/>
              <a:p>
                <a:pPr>
                  <a:defRPr lang="en-ZA"/>
                </a:pPr>
                <a:endParaRPr lang="en-US"/>
              </a:p>
            </c:txPr>
            <c:showVal val="1"/>
          </c:dLbls>
          <c:cat>
            <c:multiLvlStrRef>
              <c:f>'Week 1 Stats'!#REF!</c:f>
            </c:multiLvlStrRef>
          </c:cat>
          <c:val>
            <c:numRef>
              <c:f>'Week 4 Stats'!$E$45</c:f>
              <c:numCache>
                <c:formatCode>General</c:formatCode>
                <c:ptCount val="1"/>
                <c:pt idx="0">
                  <c:v>307</c:v>
                </c:pt>
              </c:numCache>
            </c:numRef>
          </c:val>
        </c:ser>
        <c:ser>
          <c:idx val="3"/>
          <c:order val="3"/>
          <c:tx>
            <c:v>Maintnenace Collected</c:v>
          </c:tx>
          <c:dLbls>
            <c:txPr>
              <a:bodyPr/>
              <a:lstStyle/>
              <a:p>
                <a:pPr>
                  <a:defRPr lang="en-ZA"/>
                </a:pPr>
                <a:endParaRPr lang="en-US"/>
              </a:p>
            </c:txPr>
            <c:showVal val="1"/>
          </c:dLbls>
          <c:cat>
            <c:multiLvlStrRef>
              <c:f>'Week 1 Stats'!#REF!</c:f>
            </c:multiLvlStrRef>
          </c:cat>
          <c:val>
            <c:numRef>
              <c:f>'Week 4 Stats'!$C$45</c:f>
              <c:numCache>
                <c:formatCode>General</c:formatCode>
                <c:ptCount val="1"/>
                <c:pt idx="0">
                  <c:v>88</c:v>
                </c:pt>
              </c:numCache>
            </c:numRef>
          </c:val>
        </c:ser>
        <c:ser>
          <c:idx val="4"/>
          <c:order val="4"/>
          <c:tx>
            <c:v>Contractors</c:v>
          </c:tx>
          <c:dLbls>
            <c:txPr>
              <a:bodyPr/>
              <a:lstStyle/>
              <a:p>
                <a:pPr>
                  <a:defRPr lang="en-ZA"/>
                </a:pPr>
                <a:endParaRPr lang="en-US"/>
              </a:p>
            </c:txPr>
            <c:showVal val="1"/>
          </c:dLbls>
          <c:cat>
            <c:multiLvlStrRef>
              <c:f>'Week 1 Stats'!#REF!</c:f>
            </c:multiLvlStrRef>
          </c:cat>
          <c:val>
            <c:numRef>
              <c:f>'Week 4 Stats'!$B$66</c:f>
              <c:numCache>
                <c:formatCode>General</c:formatCode>
                <c:ptCount val="1"/>
                <c:pt idx="0">
                  <c:v>49</c:v>
                </c:pt>
              </c:numCache>
            </c:numRef>
          </c:val>
        </c:ser>
        <c:ser>
          <c:idx val="5"/>
          <c:order val="5"/>
          <c:tx>
            <c:v>New Recruits</c:v>
          </c:tx>
          <c:dLbls>
            <c:txPr>
              <a:bodyPr/>
              <a:lstStyle/>
              <a:p>
                <a:pPr>
                  <a:defRPr lang="en-ZA"/>
                </a:pPr>
                <a:endParaRPr lang="en-US"/>
              </a:p>
            </c:txPr>
            <c:showVal val="1"/>
          </c:dLbls>
          <c:cat>
            <c:multiLvlStrRef>
              <c:f>'Week 1 Stats'!#REF!</c:f>
            </c:multiLvlStrRef>
          </c:cat>
          <c:val>
            <c:numRef>
              <c:f>'Week 4 Stats'!$D$66</c:f>
              <c:numCache>
                <c:formatCode>General</c:formatCode>
                <c:ptCount val="1"/>
                <c:pt idx="0">
                  <c:v>1</c:v>
                </c:pt>
              </c:numCache>
            </c:numRef>
          </c:val>
        </c:ser>
        <c:ser>
          <c:idx val="6"/>
          <c:order val="6"/>
          <c:tx>
            <c:v>Employees Not Paraded</c:v>
          </c:tx>
          <c:dLbls>
            <c:txPr>
              <a:bodyPr/>
              <a:lstStyle/>
              <a:p>
                <a:pPr>
                  <a:defRPr lang="en-ZA"/>
                </a:pPr>
                <a:endParaRPr lang="en-US"/>
              </a:p>
            </c:txPr>
            <c:showVal val="1"/>
          </c:dLbls>
          <c:cat>
            <c:multiLvlStrRef>
              <c:f>'Week 1 Stats'!#REF!</c:f>
            </c:multiLvlStrRef>
          </c:cat>
          <c:val>
            <c:numRef>
              <c:f>'Week 4 Stats'!$I$31</c:f>
              <c:numCache>
                <c:formatCode>General</c:formatCode>
                <c:ptCount val="1"/>
                <c:pt idx="0">
                  <c:v>288</c:v>
                </c:pt>
              </c:numCache>
            </c:numRef>
          </c:val>
        </c:ser>
        <c:ser>
          <c:idx val="7"/>
          <c:order val="7"/>
          <c:tx>
            <c:v>2 Year Claim</c:v>
          </c:tx>
          <c:dLbls>
            <c:txPr>
              <a:bodyPr/>
              <a:lstStyle/>
              <a:p>
                <a:pPr>
                  <a:defRPr lang="en-ZA"/>
                </a:pPr>
                <a:endParaRPr lang="en-US"/>
              </a:p>
            </c:txPr>
            <c:showVal val="1"/>
          </c:dLbls>
          <c:cat>
            <c:multiLvlStrRef>
              <c:f>'Week 1 Stats'!#REF!</c:f>
            </c:multiLvlStrRef>
          </c:cat>
          <c:val>
            <c:numRef>
              <c:f>'Week 4 Stats'!$F$66</c:f>
              <c:numCache>
                <c:formatCode>General</c:formatCode>
                <c:ptCount val="1"/>
                <c:pt idx="0">
                  <c:v>78</c:v>
                </c:pt>
              </c:numCache>
            </c:numRef>
          </c:val>
        </c:ser>
        <c:ser>
          <c:idx val="8"/>
          <c:order val="8"/>
          <c:tx>
            <c:v>5 Year Claim</c:v>
          </c:tx>
          <c:dLbls>
            <c:txPr>
              <a:bodyPr/>
              <a:lstStyle/>
              <a:p>
                <a:pPr>
                  <a:defRPr lang="en-ZA"/>
                </a:pPr>
                <a:endParaRPr lang="en-US"/>
              </a:p>
            </c:txPr>
            <c:showVal val="1"/>
          </c:dLbls>
          <c:cat>
            <c:multiLvlStrRef>
              <c:f>'Week 1 Stats'!#REF!</c:f>
            </c:multiLvlStrRef>
          </c:cat>
          <c:val>
            <c:numRef>
              <c:f>'Week 4 Stats'!$H$66</c:f>
              <c:numCache>
                <c:formatCode>General</c:formatCode>
                <c:ptCount val="1"/>
                <c:pt idx="0">
                  <c:v>0</c:v>
                </c:pt>
              </c:numCache>
            </c:numRef>
          </c:val>
        </c:ser>
        <c:dLbls>
          <c:showVal val="1"/>
        </c:dLbls>
        <c:axId val="85779200"/>
        <c:axId val="85780736"/>
      </c:barChart>
      <c:catAx>
        <c:axId val="85779200"/>
        <c:scaling>
          <c:orientation val="minMax"/>
        </c:scaling>
        <c:delete val="1"/>
        <c:axPos val="b"/>
        <c:numFmt formatCode="yyyy\/mm\/dd" sourceLinked="1"/>
        <c:tickLblPos val="none"/>
        <c:crossAx val="85780736"/>
        <c:crosses val="autoZero"/>
        <c:auto val="1"/>
        <c:lblAlgn val="ctr"/>
        <c:lblOffset val="100"/>
      </c:catAx>
      <c:valAx>
        <c:axId val="85780736"/>
        <c:scaling>
          <c:orientation val="minMax"/>
        </c:scaling>
        <c:axPos val="l"/>
        <c:majorGridlines/>
        <c:title>
          <c:tx>
            <c:rich>
              <a:bodyPr/>
              <a:lstStyle/>
              <a:p>
                <a:pPr>
                  <a:defRPr lang="en-ZA"/>
                </a:pPr>
                <a:r>
                  <a:rPr lang="af-ZA"/>
                  <a:t>Qty</a:t>
                </a:r>
              </a:p>
            </c:rich>
          </c:tx>
          <c:layout>
            <c:manualLayout>
              <c:xMode val="edge"/>
              <c:yMode val="edge"/>
              <c:x val="1.5794669299111583E-2"/>
              <c:y val="0.57872971679645202"/>
            </c:manualLayout>
          </c:layout>
        </c:title>
        <c:numFmt formatCode="General" sourceLinked="1"/>
        <c:tickLblPos val="nextTo"/>
        <c:txPr>
          <a:bodyPr rot="0" vert="horz"/>
          <a:lstStyle/>
          <a:p>
            <a:pPr>
              <a:defRPr lang="en-ZA"/>
            </a:pPr>
            <a:endParaRPr lang="en-US"/>
          </a:p>
        </c:txPr>
        <c:crossAx val="85779200"/>
        <c:crosses val="autoZero"/>
        <c:crossBetween val="between"/>
      </c:valAx>
    </c:plotArea>
    <c:legend>
      <c:legendPos val="t"/>
      <c:layout>
        <c:manualLayout>
          <c:xMode val="edge"/>
          <c:yMode val="edge"/>
          <c:x val="0.19249753208292275"/>
          <c:y val="0.14502776931889039"/>
          <c:w val="0.6920039486673244"/>
          <c:h val="0.11602224445701227"/>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 week ending </a:t>
            </a:r>
            <a:r>
              <a:rPr lang="af-ZA" baseline="0"/>
              <a:t> 2013</a:t>
            </a:r>
            <a:r>
              <a:rPr lang="af-ZA"/>
              <a:t>-02-17</a:t>
            </a:r>
          </a:p>
        </c:rich>
      </c:tx>
      <c:layout>
        <c:manualLayout>
          <c:xMode val="edge"/>
          <c:yMode val="edge"/>
          <c:x val="0.20098532511022396"/>
          <c:y val="9.655172413793104E-3"/>
        </c:manualLayout>
      </c:layout>
      <c:spPr>
        <a:noFill/>
        <a:ln w="25400">
          <a:noFill/>
        </a:ln>
      </c:spPr>
    </c:title>
    <c:view3D>
      <c:perspective val="0"/>
    </c:view3D>
    <c:plotArea>
      <c:layout>
        <c:manualLayout>
          <c:layoutTarget val="inner"/>
          <c:xMode val="edge"/>
          <c:yMode val="edge"/>
          <c:x val="6.5682479345254346E-3"/>
          <c:y val="0.31720712177554322"/>
          <c:w val="0.98292272086678756"/>
          <c:h val="0.58276453602974854"/>
        </c:manualLayout>
      </c:layout>
      <c:pie3DChart>
        <c:varyColors val="1"/>
        <c:ser>
          <c:idx val="0"/>
          <c:order val="0"/>
          <c:tx>
            <c:strRef>
              <c:f>'Week 4 Stats'!$C$20:$H$20</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1 Stats'!$C$19:$H$19</c:f>
              <c:strCache>
                <c:ptCount val="6"/>
                <c:pt idx="0">
                  <c:v>Leave</c:v>
                </c:pt>
                <c:pt idx="1">
                  <c:v>Discharged</c:v>
                </c:pt>
                <c:pt idx="2">
                  <c:v>Transferred to other Shaft / Area</c:v>
                </c:pt>
                <c:pt idx="3">
                  <c:v>Sick Leave</c:v>
                </c:pt>
                <c:pt idx="4">
                  <c:v>Training</c:v>
                </c:pt>
                <c:pt idx="5">
                  <c:v>Other</c:v>
                </c:pt>
              </c:strCache>
            </c:strRef>
          </c:cat>
          <c:val>
            <c:numRef>
              <c:f>'Week 4 Stats'!$C$31:$H$31</c:f>
              <c:numCache>
                <c:formatCode>General</c:formatCode>
                <c:ptCount val="6"/>
                <c:pt idx="0">
                  <c:v>4</c:v>
                </c:pt>
                <c:pt idx="1">
                  <c:v>97</c:v>
                </c:pt>
                <c:pt idx="2">
                  <c:v>53</c:v>
                </c:pt>
                <c:pt idx="3">
                  <c:v>6</c:v>
                </c:pt>
                <c:pt idx="4">
                  <c:v>100</c:v>
                </c:pt>
                <c:pt idx="5">
                  <c:v>28</c:v>
                </c:pt>
              </c:numCache>
            </c:numRef>
          </c:val>
        </c:ser>
        <c:dLbls>
          <c:showLegendKey val="1"/>
          <c:showPercent val="1"/>
        </c:dLbls>
      </c:pie3DChart>
      <c:spPr>
        <a:noFill/>
        <a:ln w="25400">
          <a:noFill/>
        </a:ln>
      </c:spPr>
    </c:plotArea>
    <c:legend>
      <c:legendPos val="t"/>
      <c:layout>
        <c:manualLayout>
          <c:xMode val="edge"/>
          <c:yMode val="edge"/>
          <c:x val="0.10771756978653553"/>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week ending 2013-02-20</a:t>
            </a:r>
          </a:p>
        </c:rich>
      </c:tx>
      <c:layout>
        <c:manualLayout>
          <c:xMode val="edge"/>
          <c:yMode val="edge"/>
          <c:x val="0.22123914451696547"/>
          <c:y val="1.1049723756906087E-2"/>
        </c:manualLayout>
      </c:layout>
    </c:title>
    <c:plotArea>
      <c:layout>
        <c:manualLayout>
          <c:layoutTarget val="inner"/>
          <c:xMode val="edge"/>
          <c:yMode val="edge"/>
          <c:x val="0.19693153400072783"/>
          <c:y val="0.14397072317179865"/>
          <c:w val="0.78209173705794155"/>
          <c:h val="0.68052806407329169"/>
        </c:manualLayout>
      </c:layout>
      <c:barChart>
        <c:barDir val="col"/>
        <c:grouping val="clustered"/>
        <c:ser>
          <c:idx val="0"/>
          <c:order val="0"/>
          <c:tx>
            <c:strRef>
              <c:f>'Week 5 Stats'!$D$4</c:f>
              <c:strCache>
                <c:ptCount val="1"/>
                <c:pt idx="0">
                  <c:v>Quantity Paraded</c:v>
                </c:pt>
              </c:strCache>
            </c:strRef>
          </c:tx>
          <c:dLbls>
            <c:txPr>
              <a:bodyPr/>
              <a:lstStyle/>
              <a:p>
                <a:pPr>
                  <a:defRPr lang="en-ZA"/>
                </a:pPr>
                <a:endParaRPr lang="en-US"/>
              </a:p>
            </c:txPr>
            <c:showVal val="1"/>
          </c:dLbls>
          <c:cat>
            <c:multiLvlStrRef>
              <c:f>'Week 5 Stats'!$A$5:$B$9</c:f>
              <c:multiLvlStrCache>
                <c:ptCount val="5"/>
                <c:lvl>
                  <c:pt idx="1">
                    <c:v>6#</c:v>
                  </c:pt>
                  <c:pt idx="2">
                    <c:v>16#</c:v>
                  </c:pt>
                  <c:pt idx="3">
                    <c:v>9#</c:v>
                  </c:pt>
                  <c:pt idx="4">
                    <c:v>10#</c:v>
                  </c:pt>
                </c:lvl>
                <c:lvl>
                  <c:pt idx="0">
                    <c:v>2013/02/18</c:v>
                  </c:pt>
                  <c:pt idx="1">
                    <c:v>2013/02/19</c:v>
                  </c:pt>
                  <c:pt idx="2">
                    <c:v>2013/02/19</c:v>
                  </c:pt>
                  <c:pt idx="3">
                    <c:v>2013/02/20</c:v>
                  </c:pt>
                  <c:pt idx="4">
                    <c:v>2013/02/20</c:v>
                  </c:pt>
                </c:lvl>
              </c:multiLvlStrCache>
            </c:multiLvlStrRef>
          </c:cat>
          <c:val>
            <c:numRef>
              <c:f>'Week 5 Stats'!$D$5:$D$10</c:f>
              <c:numCache>
                <c:formatCode>General</c:formatCode>
                <c:ptCount val="6"/>
                <c:pt idx="1">
                  <c:v>52</c:v>
                </c:pt>
                <c:pt idx="2">
                  <c:v>58</c:v>
                </c:pt>
                <c:pt idx="3">
                  <c:v>12</c:v>
                </c:pt>
                <c:pt idx="4">
                  <c:v>14</c:v>
                </c:pt>
                <c:pt idx="5">
                  <c:v>136</c:v>
                </c:pt>
              </c:numCache>
            </c:numRef>
          </c:val>
        </c:ser>
        <c:ser>
          <c:idx val="2"/>
          <c:order val="1"/>
          <c:tx>
            <c:strRef>
              <c:f>'Week 5 Stats'!$E$4</c:f>
              <c:strCache>
                <c:ptCount val="1"/>
                <c:pt idx="0">
                  <c:v>Quantity Fitted at Shaft/Area</c:v>
                </c:pt>
              </c:strCache>
            </c:strRef>
          </c:tx>
          <c:dLbls>
            <c:txPr>
              <a:bodyPr/>
              <a:lstStyle/>
              <a:p>
                <a:pPr>
                  <a:defRPr lang="en-ZA"/>
                </a:pPr>
                <a:endParaRPr lang="en-US"/>
              </a:p>
            </c:txPr>
            <c:showVal val="1"/>
          </c:dLbls>
          <c:cat>
            <c:multiLvlStrRef>
              <c:f>'Week 5 Stats'!$A$5:$B$9</c:f>
              <c:multiLvlStrCache>
                <c:ptCount val="5"/>
                <c:lvl>
                  <c:pt idx="1">
                    <c:v>6#</c:v>
                  </c:pt>
                  <c:pt idx="2">
                    <c:v>16#</c:v>
                  </c:pt>
                  <c:pt idx="3">
                    <c:v>9#</c:v>
                  </c:pt>
                  <c:pt idx="4">
                    <c:v>10#</c:v>
                  </c:pt>
                </c:lvl>
                <c:lvl>
                  <c:pt idx="0">
                    <c:v>2013/02/18</c:v>
                  </c:pt>
                  <c:pt idx="1">
                    <c:v>2013/02/19</c:v>
                  </c:pt>
                  <c:pt idx="2">
                    <c:v>2013/02/19</c:v>
                  </c:pt>
                  <c:pt idx="3">
                    <c:v>2013/02/20</c:v>
                  </c:pt>
                  <c:pt idx="4">
                    <c:v>2013/02/20</c:v>
                  </c:pt>
                </c:lvl>
              </c:multiLvlStrCache>
            </c:multiLvlStrRef>
          </c:cat>
          <c:val>
            <c:numRef>
              <c:f>'Week 5 Stats'!$E$5:$E$9</c:f>
              <c:numCache>
                <c:formatCode>General</c:formatCode>
                <c:ptCount val="5"/>
                <c:pt idx="1">
                  <c:v>39</c:v>
                </c:pt>
                <c:pt idx="2">
                  <c:v>21</c:v>
                </c:pt>
                <c:pt idx="3">
                  <c:v>8</c:v>
                </c:pt>
                <c:pt idx="4">
                  <c:v>9</c:v>
                </c:pt>
              </c:numCache>
            </c:numRef>
          </c:val>
        </c:ser>
        <c:ser>
          <c:idx val="3"/>
          <c:order val="2"/>
          <c:tx>
            <c:strRef>
              <c:f>'Week 5 Stats'!$G$4</c:f>
              <c:strCache>
                <c:ptCount val="1"/>
                <c:pt idx="0">
                  <c:v>Quantity Fitted at NC Office</c:v>
                </c:pt>
              </c:strCache>
            </c:strRef>
          </c:tx>
          <c:dLbls>
            <c:txPr>
              <a:bodyPr/>
              <a:lstStyle/>
              <a:p>
                <a:pPr>
                  <a:defRPr lang="en-ZA"/>
                </a:pPr>
                <a:endParaRPr lang="en-US"/>
              </a:p>
            </c:txPr>
            <c:showVal val="1"/>
          </c:dLbls>
          <c:cat>
            <c:multiLvlStrRef>
              <c:f>'Week 5 Stats'!$A$5:$B$9</c:f>
              <c:multiLvlStrCache>
                <c:ptCount val="5"/>
                <c:lvl>
                  <c:pt idx="1">
                    <c:v>6#</c:v>
                  </c:pt>
                  <c:pt idx="2">
                    <c:v>16#</c:v>
                  </c:pt>
                  <c:pt idx="3">
                    <c:v>9#</c:v>
                  </c:pt>
                  <c:pt idx="4">
                    <c:v>10#</c:v>
                  </c:pt>
                </c:lvl>
                <c:lvl>
                  <c:pt idx="0">
                    <c:v>2013/02/18</c:v>
                  </c:pt>
                  <c:pt idx="1">
                    <c:v>2013/02/19</c:v>
                  </c:pt>
                  <c:pt idx="2">
                    <c:v>2013/02/19</c:v>
                  </c:pt>
                  <c:pt idx="3">
                    <c:v>2013/02/20</c:v>
                  </c:pt>
                  <c:pt idx="4">
                    <c:v>2013/02/20</c:v>
                  </c:pt>
                </c:lvl>
              </c:multiLvlStrCache>
            </c:multiLvlStrRef>
          </c:cat>
          <c:val>
            <c:numRef>
              <c:f>'Week 5 Stats'!$G$5:$G$9</c:f>
              <c:numCache>
                <c:formatCode>General</c:formatCode>
                <c:ptCount val="5"/>
                <c:pt idx="0">
                  <c:v>24</c:v>
                </c:pt>
                <c:pt idx="1">
                  <c:v>29</c:v>
                </c:pt>
                <c:pt idx="3">
                  <c:v>12</c:v>
                </c:pt>
              </c:numCache>
            </c:numRef>
          </c:val>
        </c:ser>
        <c:dLbls>
          <c:showVal val="1"/>
        </c:dLbls>
        <c:axId val="86057728"/>
        <c:axId val="86059264"/>
      </c:barChart>
      <c:catAx>
        <c:axId val="86057728"/>
        <c:scaling>
          <c:orientation val="minMax"/>
        </c:scaling>
        <c:axPos val="b"/>
        <c:numFmt formatCode="yyyy\/mm\/dd" sourceLinked="1"/>
        <c:tickLblPos val="nextTo"/>
        <c:txPr>
          <a:bodyPr rot="0" vert="horz"/>
          <a:lstStyle/>
          <a:p>
            <a:pPr>
              <a:defRPr lang="en-ZA"/>
            </a:pPr>
            <a:endParaRPr lang="en-US"/>
          </a:p>
        </c:txPr>
        <c:crossAx val="86059264"/>
        <c:crosses val="autoZero"/>
        <c:auto val="1"/>
        <c:lblAlgn val="ctr"/>
        <c:lblOffset val="100"/>
        <c:tickLblSkip val="1"/>
        <c:tickMarkSkip val="1"/>
      </c:catAx>
      <c:valAx>
        <c:axId val="86059264"/>
        <c:scaling>
          <c:orientation val="minMax"/>
        </c:scaling>
        <c:axPos val="l"/>
        <c:majorGridlines/>
        <c:title>
          <c:tx>
            <c:rich>
              <a:bodyPr/>
              <a:lstStyle/>
              <a:p>
                <a:pPr>
                  <a:defRPr lang="en-ZA"/>
                </a:pPr>
                <a:r>
                  <a:rPr lang="af-ZA"/>
                  <a:t>Qty</a:t>
                </a:r>
              </a:p>
            </c:rich>
          </c:tx>
          <c:layout>
            <c:manualLayout>
              <c:xMode val="edge"/>
              <c:yMode val="edge"/>
              <c:x val="5.8997050147492781E-3"/>
              <c:y val="0.39088426791955161"/>
            </c:manualLayout>
          </c:layout>
        </c:title>
        <c:numFmt formatCode="General" sourceLinked="1"/>
        <c:tickLblPos val="nextTo"/>
        <c:txPr>
          <a:bodyPr rot="0" vert="horz"/>
          <a:lstStyle/>
          <a:p>
            <a:pPr>
              <a:defRPr lang="en-ZA"/>
            </a:pPr>
            <a:endParaRPr lang="en-US"/>
          </a:p>
        </c:txPr>
        <c:crossAx val="86057728"/>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55" r="0.75000000000000155" t="1" header="0.5" footer="0.5"/>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week ending </a:t>
            </a:r>
            <a:r>
              <a:rPr lang="af-ZA" sz="1800" b="1" i="0" u="none" strike="noStrike" baseline="0"/>
              <a:t>2013-02-20</a:t>
            </a:r>
            <a:endParaRPr lang="af-ZA"/>
          </a:p>
        </c:rich>
      </c:tx>
      <c:layout>
        <c:manualLayout>
          <c:xMode val="edge"/>
          <c:yMode val="edge"/>
          <c:x val="0.24161756407667975"/>
          <c:y val="2.6170798898071636E-2"/>
        </c:manualLayout>
      </c:layout>
    </c:title>
    <c:plotArea>
      <c:layout>
        <c:manualLayout>
          <c:layoutTarget val="inner"/>
          <c:xMode val="edge"/>
          <c:yMode val="edge"/>
          <c:x val="0.36390567591384493"/>
          <c:y val="0.23416009458948694"/>
          <c:w val="0.62130237351143902"/>
          <c:h val="0.64963963963964211"/>
        </c:manualLayout>
      </c:layout>
      <c:barChart>
        <c:barDir val="col"/>
        <c:grouping val="clustered"/>
        <c:ser>
          <c:idx val="0"/>
          <c:order val="0"/>
          <c:tx>
            <c:strRef>
              <c:f>'Week 5 Stats'!$C$25</c:f>
              <c:strCache>
                <c:ptCount val="1"/>
                <c:pt idx="0">
                  <c:v>Quantity Collected from Shaft</c:v>
                </c:pt>
              </c:strCache>
            </c:strRef>
          </c:tx>
          <c:dLbls>
            <c:txPr>
              <a:bodyPr/>
              <a:lstStyle/>
              <a:p>
                <a:pPr>
                  <a:defRPr lang="en-ZA"/>
                </a:pPr>
                <a:endParaRPr lang="en-US"/>
              </a:p>
            </c:txPr>
            <c:showVal val="1"/>
          </c:dLbls>
          <c:cat>
            <c:strRef>
              <c:f>'Week 5 Stats'!$B$26:$B$30</c:f>
              <c:strCache>
                <c:ptCount val="5"/>
                <c:pt idx="0">
                  <c:v>10#</c:v>
                </c:pt>
                <c:pt idx="1">
                  <c:v>9#</c:v>
                </c:pt>
                <c:pt idx="2">
                  <c:v>16#</c:v>
                </c:pt>
                <c:pt idx="3">
                  <c:v>17#</c:v>
                </c:pt>
                <c:pt idx="4">
                  <c:v>Minpro</c:v>
                </c:pt>
              </c:strCache>
            </c:strRef>
          </c:cat>
          <c:val>
            <c:numRef>
              <c:f>'Week 5 Stats'!$C$26:$C$30</c:f>
              <c:numCache>
                <c:formatCode>General</c:formatCode>
                <c:ptCount val="5"/>
                <c:pt idx="0">
                  <c:v>101</c:v>
                </c:pt>
                <c:pt idx="1">
                  <c:v>17</c:v>
                </c:pt>
                <c:pt idx="2">
                  <c:v>1</c:v>
                </c:pt>
                <c:pt idx="3">
                  <c:v>0</c:v>
                </c:pt>
                <c:pt idx="4">
                  <c:v>23</c:v>
                </c:pt>
              </c:numCache>
            </c:numRef>
          </c:val>
        </c:ser>
        <c:ser>
          <c:idx val="1"/>
          <c:order val="1"/>
          <c:tx>
            <c:strRef>
              <c:f>'Week 5 Stats'!$D$25</c:f>
              <c:strCache>
                <c:ptCount val="1"/>
                <c:pt idx="0">
                  <c:v>Quantity employees going on leave and did not hand in their Noise Clippers</c:v>
                </c:pt>
              </c:strCache>
            </c:strRef>
          </c:tx>
          <c:dLbls>
            <c:txPr>
              <a:bodyPr/>
              <a:lstStyle/>
              <a:p>
                <a:pPr>
                  <a:defRPr lang="en-ZA"/>
                </a:pPr>
                <a:endParaRPr lang="en-US"/>
              </a:p>
            </c:txPr>
            <c:showVal val="1"/>
          </c:dLbls>
          <c:cat>
            <c:strRef>
              <c:f>'Week 5 Stats'!$B$26:$B$30</c:f>
              <c:strCache>
                <c:ptCount val="5"/>
                <c:pt idx="0">
                  <c:v>10#</c:v>
                </c:pt>
                <c:pt idx="1">
                  <c:v>9#</c:v>
                </c:pt>
                <c:pt idx="2">
                  <c:v>16#</c:v>
                </c:pt>
                <c:pt idx="3">
                  <c:v>17#</c:v>
                </c:pt>
                <c:pt idx="4">
                  <c:v>Minpro</c:v>
                </c:pt>
              </c:strCache>
            </c:strRef>
          </c:cat>
          <c:val>
            <c:numRef>
              <c:f>'Week 5 Stats'!$D$26:$D$30</c:f>
              <c:numCache>
                <c:formatCode>General</c:formatCode>
                <c:ptCount val="5"/>
                <c:pt idx="0">
                  <c:v>12</c:v>
                </c:pt>
                <c:pt idx="1">
                  <c:v>6</c:v>
                </c:pt>
                <c:pt idx="2">
                  <c:v>0</c:v>
                </c:pt>
                <c:pt idx="3">
                  <c:v>0</c:v>
                </c:pt>
                <c:pt idx="4">
                  <c:v>3</c:v>
                </c:pt>
              </c:numCache>
            </c:numRef>
          </c:val>
        </c:ser>
        <c:dLbls>
          <c:showVal val="1"/>
        </c:dLbls>
        <c:axId val="86115456"/>
        <c:axId val="86116992"/>
      </c:barChart>
      <c:catAx>
        <c:axId val="86115456"/>
        <c:scaling>
          <c:orientation val="minMax"/>
        </c:scaling>
        <c:axPos val="b"/>
        <c:numFmt formatCode="General" sourceLinked="1"/>
        <c:tickLblPos val="nextTo"/>
        <c:txPr>
          <a:bodyPr rot="0" vert="horz"/>
          <a:lstStyle/>
          <a:p>
            <a:pPr>
              <a:defRPr lang="en-ZA"/>
            </a:pPr>
            <a:endParaRPr lang="en-US"/>
          </a:p>
        </c:txPr>
        <c:crossAx val="86116992"/>
        <c:crosses val="autoZero"/>
        <c:auto val="1"/>
        <c:lblAlgn val="ctr"/>
        <c:lblOffset val="100"/>
        <c:tickLblSkip val="1"/>
        <c:tickMarkSkip val="1"/>
      </c:catAx>
      <c:valAx>
        <c:axId val="86116992"/>
        <c:scaling>
          <c:orientation val="minMax"/>
        </c:scaling>
        <c:axPos val="l"/>
        <c:majorGridlines/>
        <c:title>
          <c:tx>
            <c:rich>
              <a:bodyPr/>
              <a:lstStyle/>
              <a:p>
                <a:pPr>
                  <a:defRPr lang="en-ZA"/>
                </a:pPr>
                <a:r>
                  <a:rPr lang="af-ZA"/>
                  <a:t>Qty</a:t>
                </a:r>
              </a:p>
            </c:rich>
          </c:tx>
          <c:layout>
            <c:manualLayout>
              <c:xMode val="edge"/>
              <c:yMode val="edge"/>
              <c:x val="1.7751479289940877E-2"/>
              <c:y val="0.48760402883523857"/>
            </c:manualLayout>
          </c:layout>
        </c:title>
        <c:numFmt formatCode="General" sourceLinked="1"/>
        <c:tickLblPos val="nextTo"/>
        <c:txPr>
          <a:bodyPr rot="0" vert="horz"/>
          <a:lstStyle/>
          <a:p>
            <a:pPr>
              <a:defRPr lang="en-ZA"/>
            </a:pPr>
            <a:endParaRPr lang="en-US"/>
          </a:p>
        </c:txPr>
        <c:crossAx val="86115456"/>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293E-3"/>
          <c:y val="0.12819607008583386"/>
          <c:w val="0.98267820072786749"/>
          <c:h val="7.762687096545369E-2"/>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week ending </a:t>
            </a:r>
            <a:r>
              <a:rPr lang="af-ZA" sz="1800" b="1" i="0" u="none" strike="noStrike" baseline="0"/>
              <a:t>2013-02-20</a:t>
            </a:r>
            <a:endParaRPr lang="af-ZA"/>
          </a:p>
        </c:rich>
      </c:tx>
      <c:layout>
        <c:manualLayout>
          <c:xMode val="edge"/>
          <c:yMode val="edge"/>
          <c:x val="0.24284304047384053"/>
          <c:y val="2.6243093922652012E-2"/>
        </c:manualLayout>
      </c:layout>
    </c:title>
    <c:plotArea>
      <c:layout>
        <c:manualLayout>
          <c:layoutTarget val="inner"/>
          <c:xMode val="edge"/>
          <c:yMode val="edge"/>
          <c:x val="9.1806515301085898E-2"/>
          <c:y val="0.29834274264525956"/>
          <c:w val="0.89437314906219156"/>
          <c:h val="0.61464129850528171"/>
        </c:manualLayout>
      </c:layout>
      <c:barChart>
        <c:barDir val="col"/>
        <c:grouping val="clustered"/>
        <c:ser>
          <c:idx val="0"/>
          <c:order val="0"/>
          <c:tx>
            <c:v>Impressions</c:v>
          </c:tx>
          <c:dLbls>
            <c:txPr>
              <a:bodyPr/>
              <a:lstStyle/>
              <a:p>
                <a:pPr>
                  <a:defRPr lang="en-ZA"/>
                </a:pPr>
                <a:endParaRPr lang="en-US"/>
              </a:p>
            </c:txPr>
            <c:showVal val="1"/>
          </c:dLbls>
          <c:cat>
            <c:multiLvlStrRef>
              <c:f>'Week 1 Stats'!#REF!</c:f>
            </c:multiLvlStrRef>
          </c:cat>
          <c:val>
            <c:numRef>
              <c:f>'Week 5 Stats'!$U$40</c:f>
              <c:numCache>
                <c:formatCode>General</c:formatCode>
                <c:ptCount val="1"/>
                <c:pt idx="0">
                  <c:v>92</c:v>
                </c:pt>
              </c:numCache>
            </c:numRef>
          </c:val>
        </c:ser>
        <c:ser>
          <c:idx val="1"/>
          <c:order val="1"/>
          <c:tx>
            <c:v>Fitments</c:v>
          </c:tx>
          <c:dLbls>
            <c:txPr>
              <a:bodyPr/>
              <a:lstStyle/>
              <a:p>
                <a:pPr>
                  <a:defRPr lang="en-ZA"/>
                </a:pPr>
                <a:endParaRPr lang="en-US"/>
              </a:p>
            </c:txPr>
            <c:showVal val="1"/>
          </c:dLbls>
          <c:cat>
            <c:multiLvlStrRef>
              <c:f>'Week 1 Stats'!#REF!</c:f>
            </c:multiLvlStrRef>
          </c:cat>
          <c:val>
            <c:numRef>
              <c:f>'Week 5 Stats'!$H$10</c:f>
              <c:numCache>
                <c:formatCode>General</c:formatCode>
                <c:ptCount val="1"/>
                <c:pt idx="0">
                  <c:v>142</c:v>
                </c:pt>
              </c:numCache>
            </c:numRef>
          </c:val>
        </c:ser>
        <c:ser>
          <c:idx val="2"/>
          <c:order val="2"/>
          <c:tx>
            <c:v>Maintnenace Fitments</c:v>
          </c:tx>
          <c:dLbls>
            <c:txPr>
              <a:bodyPr/>
              <a:lstStyle/>
              <a:p>
                <a:pPr>
                  <a:defRPr lang="en-ZA"/>
                </a:pPr>
                <a:endParaRPr lang="en-US"/>
              </a:p>
            </c:txPr>
            <c:showVal val="1"/>
          </c:dLbls>
          <c:cat>
            <c:multiLvlStrRef>
              <c:f>'Week 1 Stats'!#REF!</c:f>
            </c:multiLvlStrRef>
          </c:cat>
          <c:val>
            <c:numRef>
              <c:f>'Week 5 Stats'!$E$31</c:f>
              <c:numCache>
                <c:formatCode>General</c:formatCode>
                <c:ptCount val="1"/>
                <c:pt idx="0">
                  <c:v>306</c:v>
                </c:pt>
              </c:numCache>
            </c:numRef>
          </c:val>
        </c:ser>
        <c:ser>
          <c:idx val="3"/>
          <c:order val="3"/>
          <c:tx>
            <c:v>Maintnenace Collected</c:v>
          </c:tx>
          <c:dLbls>
            <c:txPr>
              <a:bodyPr/>
              <a:lstStyle/>
              <a:p>
                <a:pPr>
                  <a:defRPr lang="en-ZA"/>
                </a:pPr>
                <a:endParaRPr lang="en-US"/>
              </a:p>
            </c:txPr>
            <c:showVal val="1"/>
          </c:dLbls>
          <c:cat>
            <c:multiLvlStrRef>
              <c:f>'Week 1 Stats'!#REF!</c:f>
            </c:multiLvlStrRef>
          </c:cat>
          <c:val>
            <c:numRef>
              <c:f>'Week 5 Stats'!$C$31</c:f>
              <c:numCache>
                <c:formatCode>General</c:formatCode>
                <c:ptCount val="1"/>
                <c:pt idx="0">
                  <c:v>142</c:v>
                </c:pt>
              </c:numCache>
            </c:numRef>
          </c:val>
        </c:ser>
        <c:ser>
          <c:idx val="4"/>
          <c:order val="4"/>
          <c:tx>
            <c:v>Contractors</c:v>
          </c:tx>
          <c:dLbls>
            <c:txPr>
              <a:bodyPr/>
              <a:lstStyle/>
              <a:p>
                <a:pPr>
                  <a:defRPr lang="en-ZA"/>
                </a:pPr>
                <a:endParaRPr lang="en-US"/>
              </a:p>
            </c:txPr>
            <c:showVal val="1"/>
          </c:dLbls>
          <c:cat>
            <c:multiLvlStrRef>
              <c:f>'Week 1 Stats'!#REF!</c:f>
            </c:multiLvlStrRef>
          </c:cat>
          <c:val>
            <c:numRef>
              <c:f>'Week 5 Stats'!$B$48</c:f>
              <c:numCache>
                <c:formatCode>General</c:formatCode>
                <c:ptCount val="1"/>
                <c:pt idx="0">
                  <c:v>30</c:v>
                </c:pt>
              </c:numCache>
            </c:numRef>
          </c:val>
        </c:ser>
        <c:ser>
          <c:idx val="5"/>
          <c:order val="5"/>
          <c:tx>
            <c:v>New Recruits</c:v>
          </c:tx>
          <c:dLbls>
            <c:txPr>
              <a:bodyPr/>
              <a:lstStyle/>
              <a:p>
                <a:pPr>
                  <a:defRPr lang="en-ZA"/>
                </a:pPr>
                <a:endParaRPr lang="en-US"/>
              </a:p>
            </c:txPr>
            <c:showVal val="1"/>
          </c:dLbls>
          <c:cat>
            <c:multiLvlStrRef>
              <c:f>'Week 1 Stats'!#REF!</c:f>
            </c:multiLvlStrRef>
          </c:cat>
          <c:val>
            <c:numRef>
              <c:f>'Week 5 Stats'!$D$48</c:f>
              <c:numCache>
                <c:formatCode>General</c:formatCode>
                <c:ptCount val="1"/>
                <c:pt idx="0">
                  <c:v>1</c:v>
                </c:pt>
              </c:numCache>
            </c:numRef>
          </c:val>
        </c:ser>
        <c:ser>
          <c:idx val="6"/>
          <c:order val="6"/>
          <c:tx>
            <c:v>Employees Not Paraded</c:v>
          </c:tx>
          <c:dLbls>
            <c:txPr>
              <a:bodyPr/>
              <a:lstStyle/>
              <a:p>
                <a:pPr>
                  <a:defRPr lang="en-ZA"/>
                </a:pPr>
                <a:endParaRPr lang="en-US"/>
              </a:p>
            </c:txPr>
            <c:showVal val="1"/>
          </c:dLbls>
          <c:cat>
            <c:multiLvlStrRef>
              <c:f>'Week 1 Stats'!#REF!</c:f>
            </c:multiLvlStrRef>
          </c:cat>
          <c:val>
            <c:numRef>
              <c:f>'Week 5 Stats'!$I$21</c:f>
              <c:numCache>
                <c:formatCode>General</c:formatCode>
                <c:ptCount val="1"/>
                <c:pt idx="0">
                  <c:v>63</c:v>
                </c:pt>
              </c:numCache>
            </c:numRef>
          </c:val>
        </c:ser>
        <c:ser>
          <c:idx val="7"/>
          <c:order val="7"/>
          <c:tx>
            <c:v>2 Year Claim</c:v>
          </c:tx>
          <c:dLbls>
            <c:txPr>
              <a:bodyPr/>
              <a:lstStyle/>
              <a:p>
                <a:pPr>
                  <a:defRPr lang="en-ZA"/>
                </a:pPr>
                <a:endParaRPr lang="en-US"/>
              </a:p>
            </c:txPr>
            <c:showVal val="1"/>
          </c:dLbls>
          <c:cat>
            <c:multiLvlStrRef>
              <c:f>'Week 1 Stats'!#REF!</c:f>
            </c:multiLvlStrRef>
          </c:cat>
          <c:val>
            <c:numRef>
              <c:f>'Week 5 Stats'!$F$48</c:f>
              <c:numCache>
                <c:formatCode>General</c:formatCode>
                <c:ptCount val="1"/>
                <c:pt idx="0">
                  <c:v>44</c:v>
                </c:pt>
              </c:numCache>
            </c:numRef>
          </c:val>
        </c:ser>
        <c:ser>
          <c:idx val="8"/>
          <c:order val="8"/>
          <c:tx>
            <c:v>5 Year Claim</c:v>
          </c:tx>
          <c:dLbls>
            <c:txPr>
              <a:bodyPr/>
              <a:lstStyle/>
              <a:p>
                <a:pPr>
                  <a:defRPr lang="en-ZA"/>
                </a:pPr>
                <a:endParaRPr lang="en-US"/>
              </a:p>
            </c:txPr>
            <c:showVal val="1"/>
          </c:dLbls>
          <c:cat>
            <c:multiLvlStrRef>
              <c:f>'Week 1 Stats'!#REF!</c:f>
            </c:multiLvlStrRef>
          </c:cat>
          <c:val>
            <c:numRef>
              <c:f>'Week 5 Stats'!$H$48</c:f>
              <c:numCache>
                <c:formatCode>General</c:formatCode>
                <c:ptCount val="1"/>
                <c:pt idx="0">
                  <c:v>0</c:v>
                </c:pt>
              </c:numCache>
            </c:numRef>
          </c:val>
        </c:ser>
        <c:dLbls>
          <c:showVal val="1"/>
        </c:dLbls>
        <c:axId val="86317312"/>
        <c:axId val="86331392"/>
      </c:barChart>
      <c:catAx>
        <c:axId val="86317312"/>
        <c:scaling>
          <c:orientation val="minMax"/>
        </c:scaling>
        <c:delete val="1"/>
        <c:axPos val="b"/>
        <c:numFmt formatCode="yyyy\/mm\/dd" sourceLinked="1"/>
        <c:tickLblPos val="none"/>
        <c:crossAx val="86331392"/>
        <c:crosses val="autoZero"/>
        <c:auto val="1"/>
        <c:lblAlgn val="ctr"/>
        <c:lblOffset val="100"/>
      </c:catAx>
      <c:valAx>
        <c:axId val="86331392"/>
        <c:scaling>
          <c:orientation val="minMax"/>
        </c:scaling>
        <c:axPos val="l"/>
        <c:majorGridlines/>
        <c:title>
          <c:tx>
            <c:rich>
              <a:bodyPr/>
              <a:lstStyle/>
              <a:p>
                <a:pPr>
                  <a:defRPr lang="en-ZA"/>
                </a:pPr>
                <a:r>
                  <a:rPr lang="af-ZA"/>
                  <a:t>Qty</a:t>
                </a:r>
              </a:p>
            </c:rich>
          </c:tx>
          <c:layout>
            <c:manualLayout>
              <c:xMode val="edge"/>
              <c:yMode val="edge"/>
              <c:x val="1.5794669299111583E-2"/>
              <c:y val="0.57872971679645202"/>
            </c:manualLayout>
          </c:layout>
        </c:title>
        <c:numFmt formatCode="General" sourceLinked="1"/>
        <c:tickLblPos val="nextTo"/>
        <c:txPr>
          <a:bodyPr rot="0" vert="horz"/>
          <a:lstStyle/>
          <a:p>
            <a:pPr>
              <a:defRPr lang="en-ZA"/>
            </a:pPr>
            <a:endParaRPr lang="en-US"/>
          </a:p>
        </c:txPr>
        <c:crossAx val="86317312"/>
        <c:crosses val="autoZero"/>
        <c:crossBetween val="between"/>
      </c:valAx>
    </c:plotArea>
    <c:legend>
      <c:legendPos val="t"/>
      <c:layout>
        <c:manualLayout>
          <c:xMode val="edge"/>
          <c:yMode val="edge"/>
          <c:x val="0.19249753208292275"/>
          <c:y val="0.14502776931889039"/>
          <c:w val="0.6920039486673244"/>
          <c:h val="0.11602224445701227"/>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week ending </a:t>
            </a:r>
            <a:r>
              <a:rPr lang="af-ZA" sz="1800" b="1" i="0" u="none" strike="noStrike" baseline="0"/>
              <a:t> 2013-01-28</a:t>
            </a:r>
            <a:endParaRPr lang="af-ZA"/>
          </a:p>
        </c:rich>
      </c:tx>
      <c:layout>
        <c:manualLayout>
          <c:xMode val="edge"/>
          <c:yMode val="edge"/>
          <c:x val="0.24161756407667975"/>
          <c:y val="2.6170798898071636E-2"/>
        </c:manualLayout>
      </c:layout>
    </c:title>
    <c:plotArea>
      <c:layout>
        <c:manualLayout>
          <c:layoutTarget val="inner"/>
          <c:xMode val="edge"/>
          <c:yMode val="edge"/>
          <c:x val="0.3639056759138446"/>
          <c:y val="0.23416009458948694"/>
          <c:w val="0.62130237351143902"/>
          <c:h val="0.64963963963964166"/>
        </c:manualLayout>
      </c:layout>
      <c:barChart>
        <c:barDir val="col"/>
        <c:grouping val="clustered"/>
        <c:ser>
          <c:idx val="0"/>
          <c:order val="0"/>
          <c:tx>
            <c:strRef>
              <c:f>'Week 1 Stats'!$C$33</c:f>
              <c:strCache>
                <c:ptCount val="1"/>
                <c:pt idx="0">
                  <c:v>Quantity Collected from Shaft</c:v>
                </c:pt>
              </c:strCache>
            </c:strRef>
          </c:tx>
          <c:dLbls>
            <c:txPr>
              <a:bodyPr/>
              <a:lstStyle/>
              <a:p>
                <a:pPr>
                  <a:defRPr lang="en-ZA"/>
                </a:pPr>
                <a:endParaRPr lang="en-US"/>
              </a:p>
            </c:txPr>
            <c:showVal val="1"/>
          </c:dLbls>
          <c:cat>
            <c:strRef>
              <c:f>'Week 1 Stats'!$B$34:$B$46</c:f>
              <c:strCache>
                <c:ptCount val="13"/>
                <c:pt idx="0">
                  <c:v>2#</c:v>
                </c:pt>
                <c:pt idx="1">
                  <c:v>E&amp;F</c:v>
                </c:pt>
                <c:pt idx="2">
                  <c:v>12#</c:v>
                </c:pt>
                <c:pt idx="3">
                  <c:v>20#</c:v>
                </c:pt>
                <c:pt idx="4">
                  <c:v>4#</c:v>
                </c:pt>
                <c:pt idx="5">
                  <c:v>14#</c:v>
                </c:pt>
                <c:pt idx="6">
                  <c:v>11C#</c:v>
                </c:pt>
                <c:pt idx="7">
                  <c:v>7#</c:v>
                </c:pt>
                <c:pt idx="8">
                  <c:v>17#</c:v>
                </c:pt>
                <c:pt idx="9">
                  <c:v>16#</c:v>
                </c:pt>
                <c:pt idx="10">
                  <c:v>1#</c:v>
                </c:pt>
                <c:pt idx="11">
                  <c:v>9#</c:v>
                </c:pt>
                <c:pt idx="12">
                  <c:v>10#</c:v>
                </c:pt>
              </c:strCache>
            </c:strRef>
          </c:cat>
          <c:val>
            <c:numRef>
              <c:f>'Week 1 Stats'!$C$34:$C$46</c:f>
              <c:numCache>
                <c:formatCode>General</c:formatCode>
                <c:ptCount val="13"/>
                <c:pt idx="0">
                  <c:v>2</c:v>
                </c:pt>
                <c:pt idx="1">
                  <c:v>2</c:v>
                </c:pt>
                <c:pt idx="2">
                  <c:v>12</c:v>
                </c:pt>
                <c:pt idx="3">
                  <c:v>3</c:v>
                </c:pt>
                <c:pt idx="4">
                  <c:v>32</c:v>
                </c:pt>
                <c:pt idx="5">
                  <c:v>75</c:v>
                </c:pt>
                <c:pt idx="6">
                  <c:v>19</c:v>
                </c:pt>
                <c:pt idx="7">
                  <c:v>1</c:v>
                </c:pt>
                <c:pt idx="8">
                  <c:v>1</c:v>
                </c:pt>
                <c:pt idx="9">
                  <c:v>2</c:v>
                </c:pt>
                <c:pt idx="10">
                  <c:v>98</c:v>
                </c:pt>
                <c:pt idx="11">
                  <c:v>24</c:v>
                </c:pt>
                <c:pt idx="12">
                  <c:v>65</c:v>
                </c:pt>
              </c:numCache>
            </c:numRef>
          </c:val>
        </c:ser>
        <c:ser>
          <c:idx val="1"/>
          <c:order val="1"/>
          <c:tx>
            <c:strRef>
              <c:f>'Week 1 Stats'!$D$33</c:f>
              <c:strCache>
                <c:ptCount val="1"/>
                <c:pt idx="0">
                  <c:v>Quantity employees going on leave and did not hand in their Noise Clippers</c:v>
                </c:pt>
              </c:strCache>
            </c:strRef>
          </c:tx>
          <c:dLbls>
            <c:txPr>
              <a:bodyPr/>
              <a:lstStyle/>
              <a:p>
                <a:pPr>
                  <a:defRPr lang="en-ZA"/>
                </a:pPr>
                <a:endParaRPr lang="en-US"/>
              </a:p>
            </c:txPr>
            <c:showVal val="1"/>
          </c:dLbls>
          <c:cat>
            <c:strRef>
              <c:f>'Week 1 Stats'!$B$34:$B$46</c:f>
              <c:strCache>
                <c:ptCount val="13"/>
                <c:pt idx="0">
                  <c:v>2#</c:v>
                </c:pt>
                <c:pt idx="1">
                  <c:v>E&amp;F</c:v>
                </c:pt>
                <c:pt idx="2">
                  <c:v>12#</c:v>
                </c:pt>
                <c:pt idx="3">
                  <c:v>20#</c:v>
                </c:pt>
                <c:pt idx="4">
                  <c:v>4#</c:v>
                </c:pt>
                <c:pt idx="5">
                  <c:v>14#</c:v>
                </c:pt>
                <c:pt idx="6">
                  <c:v>11C#</c:v>
                </c:pt>
                <c:pt idx="7">
                  <c:v>7#</c:v>
                </c:pt>
                <c:pt idx="8">
                  <c:v>17#</c:v>
                </c:pt>
                <c:pt idx="9">
                  <c:v>16#</c:v>
                </c:pt>
                <c:pt idx="10">
                  <c:v>1#</c:v>
                </c:pt>
                <c:pt idx="11">
                  <c:v>9#</c:v>
                </c:pt>
                <c:pt idx="12">
                  <c:v>10#</c:v>
                </c:pt>
              </c:strCache>
            </c:strRef>
          </c:cat>
          <c:val>
            <c:numRef>
              <c:f>'Week 1 Stats'!$D$34:$D$46</c:f>
              <c:numCache>
                <c:formatCode>General</c:formatCode>
                <c:ptCount val="13"/>
                <c:pt idx="0">
                  <c:v>0</c:v>
                </c:pt>
                <c:pt idx="1">
                  <c:v>3</c:v>
                </c:pt>
                <c:pt idx="2">
                  <c:v>4</c:v>
                </c:pt>
                <c:pt idx="3">
                  <c:v>3</c:v>
                </c:pt>
                <c:pt idx="4">
                  <c:v>6</c:v>
                </c:pt>
                <c:pt idx="5">
                  <c:v>8</c:v>
                </c:pt>
                <c:pt idx="6">
                  <c:v>6</c:v>
                </c:pt>
                <c:pt idx="7">
                  <c:v>0</c:v>
                </c:pt>
                <c:pt idx="8">
                  <c:v>0</c:v>
                </c:pt>
                <c:pt idx="9">
                  <c:v>3</c:v>
                </c:pt>
                <c:pt idx="10">
                  <c:v>12</c:v>
                </c:pt>
                <c:pt idx="11">
                  <c:v>4</c:v>
                </c:pt>
                <c:pt idx="12">
                  <c:v>5</c:v>
                </c:pt>
              </c:numCache>
            </c:numRef>
          </c:val>
        </c:ser>
        <c:dLbls>
          <c:showVal val="1"/>
        </c:dLbls>
        <c:axId val="83057664"/>
        <c:axId val="83079936"/>
      </c:barChart>
      <c:catAx>
        <c:axId val="83057664"/>
        <c:scaling>
          <c:orientation val="minMax"/>
        </c:scaling>
        <c:axPos val="b"/>
        <c:numFmt formatCode="General" sourceLinked="1"/>
        <c:tickLblPos val="nextTo"/>
        <c:txPr>
          <a:bodyPr rot="0" vert="horz"/>
          <a:lstStyle/>
          <a:p>
            <a:pPr>
              <a:defRPr lang="en-ZA"/>
            </a:pPr>
            <a:endParaRPr lang="en-US"/>
          </a:p>
        </c:txPr>
        <c:crossAx val="83079936"/>
        <c:crosses val="autoZero"/>
        <c:auto val="1"/>
        <c:lblAlgn val="ctr"/>
        <c:lblOffset val="100"/>
        <c:tickLblSkip val="1"/>
        <c:tickMarkSkip val="1"/>
      </c:catAx>
      <c:valAx>
        <c:axId val="83079936"/>
        <c:scaling>
          <c:orientation val="minMax"/>
        </c:scaling>
        <c:axPos val="l"/>
        <c:majorGridlines/>
        <c:title>
          <c:tx>
            <c:rich>
              <a:bodyPr/>
              <a:lstStyle/>
              <a:p>
                <a:pPr>
                  <a:defRPr lang="en-ZA"/>
                </a:pPr>
                <a:r>
                  <a:rPr lang="af-ZA"/>
                  <a:t>Qty</a:t>
                </a:r>
              </a:p>
            </c:rich>
          </c:tx>
          <c:layout>
            <c:manualLayout>
              <c:xMode val="edge"/>
              <c:yMode val="edge"/>
              <c:x val="1.775147928994087E-2"/>
              <c:y val="0.48760402883523857"/>
            </c:manualLayout>
          </c:layout>
        </c:title>
        <c:numFmt formatCode="General" sourceLinked="1"/>
        <c:tickLblPos val="nextTo"/>
        <c:txPr>
          <a:bodyPr rot="0" vert="horz"/>
          <a:lstStyle/>
          <a:p>
            <a:pPr>
              <a:defRPr lang="en-ZA"/>
            </a:pPr>
            <a:endParaRPr lang="en-US"/>
          </a:p>
        </c:txPr>
        <c:crossAx val="83057664"/>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241E-3"/>
          <c:y val="0.12819607008583386"/>
          <c:w val="0.98267820072786749"/>
          <c:h val="7.762687096545369E-2"/>
        </c:manualLayout>
      </c:layout>
      <c:txPr>
        <a:bodyPr/>
        <a:lstStyle/>
        <a:p>
          <a:pPr>
            <a:defRPr lang="en-ZA"/>
          </a:pPr>
          <a:endParaRPr lang="en-US"/>
        </a:p>
      </c:txPr>
    </c:legend>
    <c:plotVisOnly val="1"/>
    <c:dispBlanksAs val="gap"/>
  </c:chart>
  <c:printSettings>
    <c:headerFooter alignWithMargins="0"/>
    <c:pageMargins b="1" l="0.75000000000000133" r="0.75000000000000133"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 week ending </a:t>
            </a:r>
            <a:r>
              <a:rPr lang="af-ZA" baseline="0"/>
              <a:t> 2013</a:t>
            </a:r>
            <a:r>
              <a:rPr lang="af-ZA"/>
              <a:t>-02-20</a:t>
            </a:r>
          </a:p>
        </c:rich>
      </c:tx>
      <c:layout>
        <c:manualLayout>
          <c:xMode val="edge"/>
          <c:yMode val="edge"/>
          <c:x val="0.20098532511022396"/>
          <c:y val="9.655172413793104E-3"/>
        </c:manualLayout>
      </c:layout>
      <c:spPr>
        <a:noFill/>
        <a:ln w="25400">
          <a:noFill/>
        </a:ln>
      </c:spPr>
    </c:title>
    <c:view3D>
      <c:perspective val="0"/>
    </c:view3D>
    <c:plotArea>
      <c:layout>
        <c:manualLayout>
          <c:layoutTarget val="inner"/>
          <c:xMode val="edge"/>
          <c:yMode val="edge"/>
          <c:x val="6.5682479345254346E-3"/>
          <c:y val="0.31720712177554322"/>
          <c:w val="0.98292272086678756"/>
          <c:h val="0.58276453602974854"/>
        </c:manualLayout>
      </c:layout>
      <c:pie3DChart>
        <c:varyColors val="1"/>
        <c:ser>
          <c:idx val="0"/>
          <c:order val="0"/>
          <c:tx>
            <c:strRef>
              <c:f>'Week 5 Stats'!$C$15:$H$15</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5 Stats'!$C$15:$H$15</c:f>
              <c:strCache>
                <c:ptCount val="6"/>
                <c:pt idx="0">
                  <c:v>Leave</c:v>
                </c:pt>
                <c:pt idx="1">
                  <c:v>Discharged</c:v>
                </c:pt>
                <c:pt idx="2">
                  <c:v>Transferred to other Shaft / Area</c:v>
                </c:pt>
                <c:pt idx="3">
                  <c:v>Sick Leave</c:v>
                </c:pt>
                <c:pt idx="4">
                  <c:v>Training</c:v>
                </c:pt>
                <c:pt idx="5">
                  <c:v>Other</c:v>
                </c:pt>
              </c:strCache>
            </c:strRef>
          </c:cat>
          <c:val>
            <c:numRef>
              <c:f>'Week 5 Stats'!$C$21:$H$21</c:f>
              <c:numCache>
                <c:formatCode>General</c:formatCode>
                <c:ptCount val="6"/>
                <c:pt idx="0">
                  <c:v>0</c:v>
                </c:pt>
                <c:pt idx="1">
                  <c:v>12</c:v>
                </c:pt>
                <c:pt idx="2">
                  <c:v>17</c:v>
                </c:pt>
                <c:pt idx="3">
                  <c:v>4</c:v>
                </c:pt>
                <c:pt idx="4">
                  <c:v>27</c:v>
                </c:pt>
                <c:pt idx="5">
                  <c:v>3</c:v>
                </c:pt>
              </c:numCache>
            </c:numRef>
          </c:val>
        </c:ser>
        <c:dLbls>
          <c:showLegendKey val="1"/>
          <c:showPercent val="1"/>
        </c:dLbls>
      </c:pie3DChart>
      <c:spPr>
        <a:noFill/>
        <a:ln w="25400">
          <a:noFill/>
        </a:ln>
      </c:spPr>
    </c:plotArea>
    <c:legend>
      <c:legendPos val="t"/>
      <c:layout>
        <c:manualLayout>
          <c:xMode val="edge"/>
          <c:yMode val="edge"/>
          <c:x val="0.10771756978653553"/>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month ending 2013-02-20</a:t>
            </a:r>
          </a:p>
        </c:rich>
      </c:tx>
      <c:layout>
        <c:manualLayout>
          <c:xMode val="edge"/>
          <c:yMode val="edge"/>
          <c:x val="0.22123914451696558"/>
          <c:y val="1.1049723756906087E-2"/>
        </c:manualLayout>
      </c:layout>
    </c:title>
    <c:plotArea>
      <c:layout>
        <c:manualLayout>
          <c:layoutTarget val="inner"/>
          <c:xMode val="edge"/>
          <c:yMode val="edge"/>
          <c:x val="0.19299839732422894"/>
          <c:y val="0.1403573537047707"/>
          <c:w val="0.78209173705794155"/>
          <c:h val="0.68052806407329169"/>
        </c:manualLayout>
      </c:layout>
      <c:barChart>
        <c:barDir val="col"/>
        <c:grouping val="clustered"/>
        <c:ser>
          <c:idx val="0"/>
          <c:order val="0"/>
          <c:tx>
            <c:strRef>
              <c:f>'Month Stats'!$D$4</c:f>
              <c:strCache>
                <c:ptCount val="1"/>
                <c:pt idx="0">
                  <c:v>Quantity Paraded</c:v>
                </c:pt>
              </c:strCache>
            </c:strRef>
          </c:tx>
          <c:dLbls>
            <c:txPr>
              <a:bodyPr/>
              <a:lstStyle/>
              <a:p>
                <a:pPr>
                  <a:defRPr lang="en-ZA"/>
                </a:pPr>
                <a:endParaRPr lang="en-US"/>
              </a:p>
            </c:txPr>
            <c:showVal val="1"/>
          </c:dLbls>
          <c:cat>
            <c:multiLvlStrRef>
              <c:f>('Month Stats'!#REF!,'Month Stats'!$A$22,'Month Stats'!$A$29,'Month Stats'!$A$40,'Month Stats'!$A$45)</c:f>
            </c:multiLvlStrRef>
          </c:cat>
          <c:val>
            <c:numRef>
              <c:f>('Month Stats'!$D$14,'Month Stats'!$D$22,'Month Stats'!$D$29,'Month Stats'!$D$40,'Month Stats'!$D$45)</c:f>
              <c:numCache>
                <c:formatCode>General</c:formatCode>
                <c:ptCount val="5"/>
                <c:pt idx="0">
                  <c:v>177</c:v>
                </c:pt>
                <c:pt idx="1">
                  <c:v>259</c:v>
                </c:pt>
                <c:pt idx="2">
                  <c:v>194</c:v>
                </c:pt>
                <c:pt idx="3">
                  <c:v>406</c:v>
                </c:pt>
                <c:pt idx="4">
                  <c:v>84</c:v>
                </c:pt>
              </c:numCache>
            </c:numRef>
          </c:val>
        </c:ser>
        <c:ser>
          <c:idx val="2"/>
          <c:order val="1"/>
          <c:tx>
            <c:strRef>
              <c:f>'Month Stats'!$E$4</c:f>
              <c:strCache>
                <c:ptCount val="1"/>
                <c:pt idx="0">
                  <c:v>Quantity Fitted at Shaft/Area</c:v>
                </c:pt>
              </c:strCache>
            </c:strRef>
          </c:tx>
          <c:dLbls>
            <c:txPr>
              <a:bodyPr/>
              <a:lstStyle/>
              <a:p>
                <a:pPr>
                  <a:defRPr lang="en-ZA"/>
                </a:pPr>
                <a:endParaRPr lang="en-US"/>
              </a:p>
            </c:txPr>
            <c:showVal val="1"/>
          </c:dLbls>
          <c:cat>
            <c:multiLvlStrRef>
              <c:f>('Month Stats'!#REF!,'Month Stats'!$A$22,'Month Stats'!$A$29,'Month Stats'!$A$40,'Month Stats'!$A$45)</c:f>
            </c:multiLvlStrRef>
          </c:cat>
          <c:val>
            <c:numRef>
              <c:f>('Month Stats'!$E$14,'Month Stats'!$E$22,'Month Stats'!$E$29,'Month Stats'!$E$40,'Month Stats'!$E$45)</c:f>
              <c:numCache>
                <c:formatCode>General</c:formatCode>
                <c:ptCount val="5"/>
                <c:pt idx="0">
                  <c:v>83</c:v>
                </c:pt>
                <c:pt idx="1">
                  <c:v>117</c:v>
                </c:pt>
                <c:pt idx="2">
                  <c:v>75</c:v>
                </c:pt>
                <c:pt idx="3">
                  <c:v>213</c:v>
                </c:pt>
                <c:pt idx="4">
                  <c:v>38</c:v>
                </c:pt>
              </c:numCache>
            </c:numRef>
          </c:val>
        </c:ser>
        <c:ser>
          <c:idx val="3"/>
          <c:order val="2"/>
          <c:tx>
            <c:strRef>
              <c:f>'Month Stats'!$G$4</c:f>
              <c:strCache>
                <c:ptCount val="1"/>
                <c:pt idx="0">
                  <c:v>Quantity Fitted at NC Office</c:v>
                </c:pt>
              </c:strCache>
            </c:strRef>
          </c:tx>
          <c:dLbls>
            <c:txPr>
              <a:bodyPr/>
              <a:lstStyle/>
              <a:p>
                <a:pPr>
                  <a:defRPr lang="en-ZA"/>
                </a:pPr>
                <a:endParaRPr lang="en-US"/>
              </a:p>
            </c:txPr>
            <c:showVal val="1"/>
          </c:dLbls>
          <c:cat>
            <c:multiLvlStrRef>
              <c:f>('Month Stats'!#REF!,'Month Stats'!$A$22,'Month Stats'!$A$29,'Month Stats'!$A$40,'Month Stats'!$A$45)</c:f>
            </c:multiLvlStrRef>
          </c:cat>
          <c:val>
            <c:numRef>
              <c:f>('Month Stats'!$G$14,'Month Stats'!$G$22,'Month Stats'!$G$29,'Month Stats'!$G$40,'Month Stats'!$G$45)</c:f>
              <c:numCache>
                <c:formatCode>General</c:formatCode>
                <c:ptCount val="5"/>
                <c:pt idx="0">
                  <c:v>32</c:v>
                </c:pt>
                <c:pt idx="1">
                  <c:v>41</c:v>
                </c:pt>
                <c:pt idx="2">
                  <c:v>47</c:v>
                </c:pt>
                <c:pt idx="3">
                  <c:v>38</c:v>
                </c:pt>
                <c:pt idx="4">
                  <c:v>36</c:v>
                </c:pt>
              </c:numCache>
            </c:numRef>
          </c:val>
        </c:ser>
        <c:dLbls>
          <c:showVal val="1"/>
        </c:dLbls>
        <c:axId val="86911232"/>
        <c:axId val="86941696"/>
      </c:barChart>
      <c:catAx>
        <c:axId val="86911232"/>
        <c:scaling>
          <c:orientation val="minMax"/>
        </c:scaling>
        <c:axPos val="b"/>
        <c:numFmt formatCode="yyyy\/mm\/dd" sourceLinked="1"/>
        <c:tickLblPos val="nextTo"/>
        <c:txPr>
          <a:bodyPr rot="0" vert="horz"/>
          <a:lstStyle/>
          <a:p>
            <a:pPr>
              <a:defRPr lang="en-ZA"/>
            </a:pPr>
            <a:endParaRPr lang="en-US"/>
          </a:p>
        </c:txPr>
        <c:crossAx val="86941696"/>
        <c:crosses val="autoZero"/>
        <c:auto val="1"/>
        <c:lblAlgn val="ctr"/>
        <c:lblOffset val="100"/>
        <c:tickLblSkip val="1"/>
        <c:tickMarkSkip val="1"/>
      </c:catAx>
      <c:valAx>
        <c:axId val="86941696"/>
        <c:scaling>
          <c:orientation val="minMax"/>
        </c:scaling>
        <c:axPos val="l"/>
        <c:majorGridlines/>
        <c:title>
          <c:tx>
            <c:rich>
              <a:bodyPr/>
              <a:lstStyle/>
              <a:p>
                <a:pPr>
                  <a:defRPr lang="en-ZA"/>
                </a:pPr>
                <a:r>
                  <a:rPr lang="af-ZA"/>
                  <a:t>Qty</a:t>
                </a:r>
              </a:p>
            </c:rich>
          </c:tx>
          <c:layout>
            <c:manualLayout>
              <c:xMode val="edge"/>
              <c:yMode val="edge"/>
              <c:x val="5.8997050147492798E-3"/>
              <c:y val="0.39088426791955205"/>
            </c:manualLayout>
          </c:layout>
        </c:title>
        <c:numFmt formatCode="General" sourceLinked="1"/>
        <c:tickLblPos val="nextTo"/>
        <c:txPr>
          <a:bodyPr rot="0" vert="horz"/>
          <a:lstStyle/>
          <a:p>
            <a:pPr>
              <a:defRPr lang="en-ZA"/>
            </a:pPr>
            <a:endParaRPr lang="en-US"/>
          </a:p>
        </c:txPr>
        <c:crossAx val="86911232"/>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78" r="0.75000000000000178" t="1" header="0.5" footer="0.5"/>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month ending </a:t>
            </a:r>
            <a:r>
              <a:rPr lang="af-ZA" sz="1800" b="1" i="0" u="none" strike="noStrike" baseline="0"/>
              <a:t>2013-02-20</a:t>
            </a:r>
            <a:endParaRPr lang="af-ZA"/>
          </a:p>
        </c:rich>
      </c:tx>
      <c:layout>
        <c:manualLayout>
          <c:xMode val="edge"/>
          <c:yMode val="edge"/>
          <c:x val="0.24161756407667975"/>
          <c:y val="2.6170798898071636E-2"/>
        </c:manualLayout>
      </c:layout>
    </c:title>
    <c:plotArea>
      <c:layout>
        <c:manualLayout>
          <c:layoutTarget val="inner"/>
          <c:xMode val="edge"/>
          <c:yMode val="edge"/>
          <c:x val="0.33942153680494097"/>
          <c:y val="0.2225256437539902"/>
          <c:w val="0.62130237351143902"/>
          <c:h val="0.64963963963964255"/>
        </c:manualLayout>
      </c:layout>
      <c:barChart>
        <c:barDir val="col"/>
        <c:grouping val="clustered"/>
        <c:ser>
          <c:idx val="0"/>
          <c:order val="0"/>
          <c:tx>
            <c:strRef>
              <c:f>'Month Stats'!$C$96</c:f>
              <c:strCache>
                <c:ptCount val="1"/>
                <c:pt idx="0">
                  <c:v>Quantity Collected from Shaft</c:v>
                </c:pt>
              </c:strCache>
            </c:strRef>
          </c:tx>
          <c:dLbls>
            <c:txPr>
              <a:bodyPr/>
              <a:lstStyle/>
              <a:p>
                <a:pPr>
                  <a:defRPr lang="en-ZA"/>
                </a:pPr>
                <a:endParaRPr lang="en-US"/>
              </a:p>
            </c:txPr>
            <c:showVal val="1"/>
          </c:dLbls>
          <c:cat>
            <c:numRef>
              <c:f>('Month Stats'!$E$110,'Month Stats'!$E$122,'Month Stats'!$E$127,'Month Stats'!$E$137,'Month Stats'!$E$143)</c:f>
              <c:numCache>
                <c:formatCode>General</c:formatCode>
                <c:ptCount val="5"/>
                <c:pt idx="0">
                  <c:v>476</c:v>
                </c:pt>
                <c:pt idx="1">
                  <c:v>279</c:v>
                </c:pt>
                <c:pt idx="2">
                  <c:v>549</c:v>
                </c:pt>
                <c:pt idx="3">
                  <c:v>307</c:v>
                </c:pt>
                <c:pt idx="4">
                  <c:v>306</c:v>
                </c:pt>
              </c:numCache>
            </c:numRef>
          </c:cat>
          <c:val>
            <c:numRef>
              <c:f>('Month Stats'!$C$110,'Month Stats'!$C$122,'Month Stats'!$C$127,'Month Stats'!$C$137,'Month Stats'!$C$143)</c:f>
              <c:numCache>
                <c:formatCode>General</c:formatCode>
                <c:ptCount val="5"/>
                <c:pt idx="0">
                  <c:v>336</c:v>
                </c:pt>
                <c:pt idx="1">
                  <c:v>248</c:v>
                </c:pt>
                <c:pt idx="2">
                  <c:v>47</c:v>
                </c:pt>
                <c:pt idx="3">
                  <c:v>88</c:v>
                </c:pt>
                <c:pt idx="4">
                  <c:v>142</c:v>
                </c:pt>
              </c:numCache>
            </c:numRef>
          </c:val>
        </c:ser>
        <c:ser>
          <c:idx val="1"/>
          <c:order val="1"/>
          <c:tx>
            <c:strRef>
              <c:f>'Month Stats'!$D$96</c:f>
              <c:strCache>
                <c:ptCount val="1"/>
                <c:pt idx="0">
                  <c:v>Quantity employees going on leave and did not hand in their Noise Clippers</c:v>
                </c:pt>
              </c:strCache>
            </c:strRef>
          </c:tx>
          <c:dLbls>
            <c:txPr>
              <a:bodyPr/>
              <a:lstStyle/>
              <a:p>
                <a:pPr>
                  <a:defRPr lang="en-ZA"/>
                </a:pPr>
                <a:endParaRPr lang="en-US"/>
              </a:p>
            </c:txPr>
            <c:showVal val="1"/>
          </c:dLbls>
          <c:cat>
            <c:numRef>
              <c:f>('Month Stats'!$E$110,'Month Stats'!$E$122,'Month Stats'!$E$127,'Month Stats'!$E$137,'Month Stats'!$E$143)</c:f>
              <c:numCache>
                <c:formatCode>General</c:formatCode>
                <c:ptCount val="5"/>
                <c:pt idx="0">
                  <c:v>476</c:v>
                </c:pt>
                <c:pt idx="1">
                  <c:v>279</c:v>
                </c:pt>
                <c:pt idx="2">
                  <c:v>549</c:v>
                </c:pt>
                <c:pt idx="3">
                  <c:v>307</c:v>
                </c:pt>
                <c:pt idx="4">
                  <c:v>306</c:v>
                </c:pt>
              </c:numCache>
            </c:numRef>
          </c:cat>
          <c:val>
            <c:numRef>
              <c:f>('Month Stats'!$D$110,'Month Stats'!$D$122,'Month Stats'!$D$127,'Month Stats'!$D$137,'Month Stats'!$D$143)</c:f>
              <c:numCache>
                <c:formatCode>General</c:formatCode>
                <c:ptCount val="5"/>
                <c:pt idx="0">
                  <c:v>54</c:v>
                </c:pt>
                <c:pt idx="1">
                  <c:v>50</c:v>
                </c:pt>
                <c:pt idx="2">
                  <c:v>17</c:v>
                </c:pt>
                <c:pt idx="3">
                  <c:v>31</c:v>
                </c:pt>
                <c:pt idx="4">
                  <c:v>21</c:v>
                </c:pt>
              </c:numCache>
            </c:numRef>
          </c:val>
        </c:ser>
        <c:dLbls>
          <c:showVal val="1"/>
        </c:dLbls>
        <c:axId val="86973056"/>
        <c:axId val="86978944"/>
      </c:barChart>
      <c:catAx>
        <c:axId val="86973056"/>
        <c:scaling>
          <c:orientation val="minMax"/>
        </c:scaling>
        <c:axPos val="b"/>
        <c:numFmt formatCode="General" sourceLinked="1"/>
        <c:tickLblPos val="nextTo"/>
        <c:txPr>
          <a:bodyPr rot="0" vert="horz"/>
          <a:lstStyle/>
          <a:p>
            <a:pPr>
              <a:defRPr lang="en-ZA"/>
            </a:pPr>
            <a:endParaRPr lang="en-US"/>
          </a:p>
        </c:txPr>
        <c:crossAx val="86978944"/>
        <c:crosses val="autoZero"/>
        <c:auto val="1"/>
        <c:lblAlgn val="ctr"/>
        <c:lblOffset val="100"/>
        <c:tickLblSkip val="1"/>
        <c:tickMarkSkip val="1"/>
      </c:catAx>
      <c:valAx>
        <c:axId val="86978944"/>
        <c:scaling>
          <c:orientation val="minMax"/>
        </c:scaling>
        <c:axPos val="l"/>
        <c:majorGridlines/>
        <c:title>
          <c:tx>
            <c:rich>
              <a:bodyPr/>
              <a:lstStyle/>
              <a:p>
                <a:pPr>
                  <a:defRPr lang="en-ZA"/>
                </a:pPr>
                <a:r>
                  <a:rPr lang="af-ZA"/>
                  <a:t>Qty</a:t>
                </a:r>
              </a:p>
            </c:rich>
          </c:tx>
          <c:layout>
            <c:manualLayout>
              <c:xMode val="edge"/>
              <c:yMode val="edge"/>
              <c:x val="1.7751479289940884E-2"/>
              <c:y val="0.48760402883523857"/>
            </c:manualLayout>
          </c:layout>
        </c:title>
        <c:numFmt formatCode="General" sourceLinked="1"/>
        <c:tickLblPos val="nextTo"/>
        <c:txPr>
          <a:bodyPr rot="0" vert="horz"/>
          <a:lstStyle/>
          <a:p>
            <a:pPr>
              <a:defRPr lang="en-ZA"/>
            </a:pPr>
            <a:endParaRPr lang="en-US"/>
          </a:p>
        </c:txPr>
        <c:crossAx val="86973056"/>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327E-3"/>
          <c:y val="0.12819607008583386"/>
          <c:w val="0.98267820072786749"/>
          <c:h val="7.762687096545369E-2"/>
        </c:manualLayout>
      </c:layout>
      <c:txPr>
        <a:bodyPr/>
        <a:lstStyle/>
        <a:p>
          <a:pPr>
            <a:defRPr lang="en-ZA"/>
          </a:pPr>
          <a:endParaRPr lang="en-US"/>
        </a:p>
      </c:txPr>
    </c:legend>
    <c:plotVisOnly val="1"/>
    <c:dispBlanksAs val="gap"/>
  </c:chart>
  <c:printSettings>
    <c:headerFooter alignWithMargins="0"/>
    <c:pageMargins b="1" l="0.75000000000000178" r="0.750000000000001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month ending </a:t>
            </a:r>
            <a:r>
              <a:rPr lang="af-ZA" sz="1800" b="1" i="0" u="none" strike="noStrike" baseline="0"/>
              <a:t>2013-02-20</a:t>
            </a:r>
            <a:endParaRPr lang="af-ZA"/>
          </a:p>
        </c:rich>
      </c:tx>
    </c:title>
    <c:plotArea>
      <c:layout>
        <c:manualLayout>
          <c:layoutTarget val="inner"/>
          <c:xMode val="edge"/>
          <c:yMode val="edge"/>
          <c:x val="0.17161571486683613"/>
          <c:y val="0.12114276365860772"/>
          <c:w val="0.81653828315883037"/>
          <c:h val="0.61617864840065739"/>
        </c:manualLayout>
      </c:layout>
      <c:barChart>
        <c:barDir val="col"/>
        <c:grouping val="clustered"/>
        <c:ser>
          <c:idx val="0"/>
          <c:order val="0"/>
          <c:tx>
            <c:v>Impressions</c:v>
          </c:tx>
          <c:cat>
            <c:multiLvlStrRef>
              <c:f>('Month Stats'!#REF!,'Month Stats'!$A$22,'Month Stats'!$A$29,'Month Stats'!$A$40,'Month Stats'!$A$45)</c:f>
            </c:multiLvlStrRef>
          </c:cat>
          <c:val>
            <c:numRef>
              <c:f>('Month Stats'!$U$154,'Month Stats'!$U$160,'Month Stats'!$U$166,'Month Stats'!$U$172,'Month Stats'!$U$175)</c:f>
              <c:numCache>
                <c:formatCode>General</c:formatCode>
                <c:ptCount val="5"/>
                <c:pt idx="0">
                  <c:v>189</c:v>
                </c:pt>
                <c:pt idx="1">
                  <c:v>179</c:v>
                </c:pt>
                <c:pt idx="2">
                  <c:v>206</c:v>
                </c:pt>
                <c:pt idx="3">
                  <c:v>155</c:v>
                </c:pt>
                <c:pt idx="4">
                  <c:v>63</c:v>
                </c:pt>
              </c:numCache>
            </c:numRef>
          </c:val>
        </c:ser>
        <c:ser>
          <c:idx val="1"/>
          <c:order val="1"/>
          <c:tx>
            <c:v>Fitments</c:v>
          </c:tx>
          <c:cat>
            <c:multiLvlStrRef>
              <c:f>('Month Stats'!#REF!,'Month Stats'!$A$22,'Month Stats'!$A$29,'Month Stats'!$A$40,'Month Stats'!$A$45)</c:f>
            </c:multiLvlStrRef>
          </c:cat>
          <c:val>
            <c:numRef>
              <c:f>('Month Stats'!$H$14,'Month Stats'!$H$22,'Month Stats'!$H$29,'Month Stats'!$H$40,'Month Stats'!$H$45)</c:f>
              <c:numCache>
                <c:formatCode>General</c:formatCode>
                <c:ptCount val="5"/>
                <c:pt idx="0">
                  <c:v>115</c:v>
                </c:pt>
                <c:pt idx="1">
                  <c:v>158</c:v>
                </c:pt>
                <c:pt idx="2">
                  <c:v>122</c:v>
                </c:pt>
                <c:pt idx="3">
                  <c:v>251</c:v>
                </c:pt>
                <c:pt idx="4">
                  <c:v>74</c:v>
                </c:pt>
              </c:numCache>
            </c:numRef>
          </c:val>
        </c:ser>
        <c:ser>
          <c:idx val="2"/>
          <c:order val="2"/>
          <c:tx>
            <c:v>Maintnenace Fitments</c:v>
          </c:tx>
          <c:cat>
            <c:multiLvlStrRef>
              <c:f>('Month Stats'!#REF!,'Month Stats'!$A$22,'Month Stats'!$A$29,'Month Stats'!$A$40,'Month Stats'!$A$45)</c:f>
            </c:multiLvlStrRef>
          </c:cat>
          <c:val>
            <c:numRef>
              <c:f>('Month Stats'!$E$110,'Month Stats'!$E$122,'Month Stats'!$E$127,'Month Stats'!$E$137,'Month Stats'!$E$143)</c:f>
              <c:numCache>
                <c:formatCode>General</c:formatCode>
                <c:ptCount val="5"/>
                <c:pt idx="0">
                  <c:v>476</c:v>
                </c:pt>
                <c:pt idx="1">
                  <c:v>279</c:v>
                </c:pt>
                <c:pt idx="2">
                  <c:v>549</c:v>
                </c:pt>
                <c:pt idx="3">
                  <c:v>307</c:v>
                </c:pt>
                <c:pt idx="4">
                  <c:v>306</c:v>
                </c:pt>
              </c:numCache>
            </c:numRef>
          </c:val>
        </c:ser>
        <c:ser>
          <c:idx val="3"/>
          <c:order val="3"/>
          <c:tx>
            <c:v>Maintnenace Collected</c:v>
          </c:tx>
          <c:cat>
            <c:multiLvlStrRef>
              <c:f>('Month Stats'!#REF!,'Month Stats'!$A$22,'Month Stats'!$A$29,'Month Stats'!$A$40,'Month Stats'!$A$45)</c:f>
            </c:multiLvlStrRef>
          </c:cat>
          <c:val>
            <c:numRef>
              <c:f>('Month Stats'!$C$110,'Month Stats'!$C$122,'Month Stats'!$C$127,'Month Stats'!$C$137,'Month Stats'!$C$143)</c:f>
              <c:numCache>
                <c:formatCode>General</c:formatCode>
                <c:ptCount val="5"/>
                <c:pt idx="0">
                  <c:v>336</c:v>
                </c:pt>
                <c:pt idx="1">
                  <c:v>248</c:v>
                </c:pt>
                <c:pt idx="2">
                  <c:v>47</c:v>
                </c:pt>
                <c:pt idx="3">
                  <c:v>88</c:v>
                </c:pt>
                <c:pt idx="4">
                  <c:v>142</c:v>
                </c:pt>
              </c:numCache>
            </c:numRef>
          </c:val>
        </c:ser>
        <c:ser>
          <c:idx val="4"/>
          <c:order val="4"/>
          <c:tx>
            <c:v>Contractors</c:v>
          </c:tx>
          <c:cat>
            <c:multiLvlStrRef>
              <c:f>('Month Stats'!#REF!,'Month Stats'!$A$22,'Month Stats'!$A$29,'Month Stats'!$A$40,'Month Stats'!$A$45)</c:f>
            </c:multiLvlStrRef>
          </c:cat>
          <c:val>
            <c:numRef>
              <c:f>('Month Stats'!$B$186,'Month Stats'!$B$192,'Month Stats'!$B$198,'Month Stats'!$B$204,'Month Stats'!$B$207)</c:f>
              <c:numCache>
                <c:formatCode>General</c:formatCode>
                <c:ptCount val="5"/>
                <c:pt idx="0">
                  <c:v>74</c:v>
                </c:pt>
                <c:pt idx="1">
                  <c:v>50</c:v>
                </c:pt>
                <c:pt idx="2">
                  <c:v>115</c:v>
                </c:pt>
                <c:pt idx="3">
                  <c:v>49</c:v>
                </c:pt>
                <c:pt idx="4">
                  <c:v>20</c:v>
                </c:pt>
              </c:numCache>
            </c:numRef>
          </c:val>
        </c:ser>
        <c:ser>
          <c:idx val="5"/>
          <c:order val="5"/>
          <c:tx>
            <c:v>New Recruits</c:v>
          </c:tx>
          <c:cat>
            <c:multiLvlStrRef>
              <c:f>('Month Stats'!#REF!,'Month Stats'!$A$22,'Month Stats'!$A$29,'Month Stats'!$A$40,'Month Stats'!$A$45)</c:f>
            </c:multiLvlStrRef>
          </c:cat>
          <c:val>
            <c:numRef>
              <c:f>('Month Stats'!$D$186,'Month Stats'!$D$192,'Month Stats'!$D$198,'Month Stats'!$D$204,'Month Stats'!$D$207)</c:f>
              <c:numCache>
                <c:formatCode>General</c:formatCode>
                <c:ptCount val="5"/>
                <c:pt idx="0">
                  <c:v>63</c:v>
                </c:pt>
                <c:pt idx="1">
                  <c:v>75</c:v>
                </c:pt>
                <c:pt idx="2">
                  <c:v>10</c:v>
                </c:pt>
                <c:pt idx="3">
                  <c:v>1</c:v>
                </c:pt>
                <c:pt idx="4">
                  <c:v>1</c:v>
                </c:pt>
              </c:numCache>
            </c:numRef>
          </c:val>
        </c:ser>
        <c:ser>
          <c:idx val="6"/>
          <c:order val="6"/>
          <c:tx>
            <c:v>Employees Not Paraded</c:v>
          </c:tx>
          <c:cat>
            <c:multiLvlStrRef>
              <c:f>('Month Stats'!#REF!,'Month Stats'!$A$22,'Month Stats'!$A$29,'Month Stats'!$A$40,'Month Stats'!$A$45)</c:f>
            </c:multiLvlStrRef>
          </c:cat>
          <c:val>
            <c:numRef>
              <c:f>('Month Stats'!$I$60,'Month Stats'!$I$68,'Month Stats'!$I$75,'Month Stats'!$I$86,'Month Stats'!$I$91)</c:f>
              <c:numCache>
                <c:formatCode>General</c:formatCode>
                <c:ptCount val="5"/>
                <c:pt idx="0">
                  <c:v>180</c:v>
                </c:pt>
                <c:pt idx="1">
                  <c:v>103</c:v>
                </c:pt>
                <c:pt idx="2">
                  <c:v>142</c:v>
                </c:pt>
                <c:pt idx="3">
                  <c:v>288</c:v>
                </c:pt>
                <c:pt idx="4">
                  <c:v>54</c:v>
                </c:pt>
              </c:numCache>
            </c:numRef>
          </c:val>
        </c:ser>
        <c:ser>
          <c:idx val="7"/>
          <c:order val="7"/>
          <c:tx>
            <c:v>2 Year Claim</c:v>
          </c:tx>
          <c:cat>
            <c:multiLvlStrRef>
              <c:f>('Month Stats'!#REF!,'Month Stats'!$A$22,'Month Stats'!$A$29,'Month Stats'!$A$40,'Month Stats'!$A$45)</c:f>
            </c:multiLvlStrRef>
          </c:cat>
          <c:val>
            <c:numRef>
              <c:f>('Month Stats'!$F$186,'Month Stats'!$F$192,'Month Stats'!$F$198,'Month Stats'!$F$204,'Month Stats'!$F$207)</c:f>
              <c:numCache>
                <c:formatCode>General</c:formatCode>
                <c:ptCount val="5"/>
                <c:pt idx="0">
                  <c:v>54</c:v>
                </c:pt>
                <c:pt idx="1">
                  <c:v>67</c:v>
                </c:pt>
                <c:pt idx="2">
                  <c:v>68</c:v>
                </c:pt>
                <c:pt idx="3">
                  <c:v>78</c:v>
                </c:pt>
                <c:pt idx="4">
                  <c:v>27</c:v>
                </c:pt>
              </c:numCache>
            </c:numRef>
          </c:val>
        </c:ser>
        <c:ser>
          <c:idx val="8"/>
          <c:order val="8"/>
          <c:tx>
            <c:v>5 Year Claim</c:v>
          </c:tx>
          <c:cat>
            <c:multiLvlStrRef>
              <c:f>('Month Stats'!#REF!,'Month Stats'!$A$22,'Month Stats'!$A$29,'Month Stats'!$A$40,'Month Stats'!$A$45)</c:f>
            </c:multiLvlStrRef>
          </c:cat>
          <c:val>
            <c:numRef>
              <c:f>('Month Stats'!$H$186,'Month Stats'!$H$192,'Month Stats'!$H$198,'Month Stats'!$H$204,'Month Stats'!$H$207)</c:f>
              <c:numCache>
                <c:formatCode>General</c:formatCode>
                <c:ptCount val="5"/>
                <c:pt idx="0">
                  <c:v>4</c:v>
                </c:pt>
                <c:pt idx="1">
                  <c:v>1</c:v>
                </c:pt>
                <c:pt idx="2">
                  <c:v>0</c:v>
                </c:pt>
                <c:pt idx="3">
                  <c:v>0</c:v>
                </c:pt>
                <c:pt idx="4">
                  <c:v>0</c:v>
                </c:pt>
              </c:numCache>
            </c:numRef>
          </c:val>
        </c:ser>
        <c:dLbls/>
        <c:axId val="87068672"/>
        <c:axId val="87070208"/>
      </c:barChart>
      <c:catAx>
        <c:axId val="87068672"/>
        <c:scaling>
          <c:orientation val="minMax"/>
        </c:scaling>
        <c:axPos val="b"/>
        <c:numFmt formatCode="yyyy\/mm\/dd" sourceLinked="1"/>
        <c:majorTickMark val="none"/>
        <c:tickLblPos val="none"/>
        <c:txPr>
          <a:bodyPr/>
          <a:lstStyle/>
          <a:p>
            <a:pPr>
              <a:defRPr lang="en-ZA"/>
            </a:pPr>
            <a:endParaRPr lang="en-US"/>
          </a:p>
        </c:txPr>
        <c:crossAx val="87070208"/>
        <c:crosses val="autoZero"/>
        <c:auto val="1"/>
        <c:lblAlgn val="ctr"/>
        <c:lblOffset val="100"/>
      </c:catAx>
      <c:valAx>
        <c:axId val="87070208"/>
        <c:scaling>
          <c:orientation val="minMax"/>
        </c:scaling>
        <c:axPos val="l"/>
        <c:majorGridlines/>
        <c:title>
          <c:tx>
            <c:rich>
              <a:bodyPr/>
              <a:lstStyle/>
              <a:p>
                <a:pPr>
                  <a:defRPr lang="en-ZA"/>
                </a:pPr>
                <a:r>
                  <a:rPr lang="af-ZA"/>
                  <a:t>Qty</a:t>
                </a:r>
              </a:p>
            </c:rich>
          </c:tx>
        </c:title>
        <c:numFmt formatCode="General" sourceLinked="1"/>
        <c:majorTickMark val="none"/>
        <c:tickLblPos val="nextTo"/>
        <c:txPr>
          <a:bodyPr rot="0" vert="horz"/>
          <a:lstStyle/>
          <a:p>
            <a:pPr>
              <a:defRPr lang="en-ZA"/>
            </a:pPr>
            <a:endParaRPr lang="en-US"/>
          </a:p>
        </c:txPr>
        <c:crossAx val="87068672"/>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78" r="0.750000000000001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a:t>
            </a:r>
            <a:r>
              <a:rPr lang="af-ZA" baseline="0"/>
              <a:t> month</a:t>
            </a:r>
            <a:r>
              <a:rPr lang="af-ZA"/>
              <a:t> ending </a:t>
            </a:r>
            <a:r>
              <a:rPr lang="af-ZA" baseline="0"/>
              <a:t> 2013</a:t>
            </a:r>
            <a:r>
              <a:rPr lang="af-ZA"/>
              <a:t>-02-20</a:t>
            </a:r>
          </a:p>
        </c:rich>
      </c:tx>
      <c:layout>
        <c:manualLayout>
          <c:xMode val="edge"/>
          <c:yMode val="edge"/>
          <c:x val="0.20098532511022402"/>
          <c:y val="9.655172413793104E-3"/>
        </c:manualLayout>
      </c:layout>
      <c:spPr>
        <a:noFill/>
        <a:ln w="25400">
          <a:noFill/>
        </a:ln>
      </c:spPr>
    </c:title>
    <c:view3D>
      <c:perspective val="0"/>
    </c:view3D>
    <c:plotArea>
      <c:layout>
        <c:manualLayout>
          <c:layoutTarget val="inner"/>
          <c:xMode val="edge"/>
          <c:yMode val="edge"/>
          <c:x val="6.5682479345254372E-3"/>
          <c:y val="0.31720712177554333"/>
          <c:w val="0.98292272086678756"/>
          <c:h val="0.58276453602974854"/>
        </c:manualLayout>
      </c:layout>
      <c:pie3DChart>
        <c:varyColors val="1"/>
        <c:ser>
          <c:idx val="0"/>
          <c:order val="0"/>
          <c:tx>
            <c:strRef>
              <c:f>'Month Stats'!$C$50:$H$50</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5 Stats'!$C$15:$H$15</c:f>
              <c:strCache>
                <c:ptCount val="6"/>
                <c:pt idx="0">
                  <c:v>Leave</c:v>
                </c:pt>
                <c:pt idx="1">
                  <c:v>Discharged</c:v>
                </c:pt>
                <c:pt idx="2">
                  <c:v>Transferred to other Shaft / Area</c:v>
                </c:pt>
                <c:pt idx="3">
                  <c:v>Sick Leave</c:v>
                </c:pt>
                <c:pt idx="4">
                  <c:v>Training</c:v>
                </c:pt>
                <c:pt idx="5">
                  <c:v>Other</c:v>
                </c:pt>
              </c:strCache>
            </c:strRef>
          </c:cat>
          <c:val>
            <c:numRef>
              <c:f>'Month Stats'!$C$92:$H$92</c:f>
              <c:numCache>
                <c:formatCode>General</c:formatCode>
                <c:ptCount val="6"/>
                <c:pt idx="0">
                  <c:v>13</c:v>
                </c:pt>
                <c:pt idx="1">
                  <c:v>318</c:v>
                </c:pt>
                <c:pt idx="2">
                  <c:v>142</c:v>
                </c:pt>
                <c:pt idx="3">
                  <c:v>15</c:v>
                </c:pt>
                <c:pt idx="4">
                  <c:v>212</c:v>
                </c:pt>
                <c:pt idx="5">
                  <c:v>67</c:v>
                </c:pt>
              </c:numCache>
            </c:numRef>
          </c:val>
        </c:ser>
        <c:dLbls>
          <c:showLegendKey val="1"/>
          <c:showPercent val="1"/>
        </c:dLbls>
      </c:pie3DChart>
      <c:spPr>
        <a:noFill/>
        <a:ln w="25400">
          <a:noFill/>
        </a:ln>
      </c:spPr>
    </c:plotArea>
    <c:legend>
      <c:legendPos val="t"/>
      <c:layout>
        <c:manualLayout>
          <c:xMode val="edge"/>
          <c:yMode val="edge"/>
          <c:x val="0.10771756978653556"/>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week ending </a:t>
            </a:r>
            <a:r>
              <a:rPr lang="af-ZA" sz="1800" b="1" i="0" u="none" strike="noStrike" baseline="0"/>
              <a:t>2013-01-28</a:t>
            </a:r>
            <a:endParaRPr lang="af-ZA"/>
          </a:p>
        </c:rich>
      </c:tx>
      <c:layout>
        <c:manualLayout>
          <c:xMode val="edge"/>
          <c:yMode val="edge"/>
          <c:x val="0.24284304047384048"/>
          <c:y val="2.6243093922652005E-2"/>
        </c:manualLayout>
      </c:layout>
    </c:title>
    <c:plotArea>
      <c:layout>
        <c:manualLayout>
          <c:layoutTarget val="inner"/>
          <c:xMode val="edge"/>
          <c:yMode val="edge"/>
          <c:x val="9.1806515301085898E-2"/>
          <c:y val="0.29834274264525945"/>
          <c:w val="0.89437314906219156"/>
          <c:h val="0.61464129850528115"/>
        </c:manualLayout>
      </c:layout>
      <c:barChart>
        <c:barDir val="col"/>
        <c:grouping val="clustered"/>
        <c:ser>
          <c:idx val="0"/>
          <c:order val="0"/>
          <c:tx>
            <c:v>Impressions</c:v>
          </c:tx>
          <c:dLbls>
            <c:txPr>
              <a:bodyPr/>
              <a:lstStyle/>
              <a:p>
                <a:pPr>
                  <a:defRPr lang="en-ZA"/>
                </a:pPr>
                <a:endParaRPr lang="en-US"/>
              </a:p>
            </c:txPr>
            <c:showVal val="1"/>
          </c:dLbls>
          <c:cat>
            <c:multiLvlStrRef>
              <c:f>'Week 1 Stats'!#REF!</c:f>
            </c:multiLvlStrRef>
          </c:cat>
          <c:val>
            <c:numRef>
              <c:f>'Week 1 Stats'!$U$58</c:f>
              <c:numCache>
                <c:formatCode>General</c:formatCode>
                <c:ptCount val="1"/>
                <c:pt idx="0">
                  <c:v>189</c:v>
                </c:pt>
              </c:numCache>
            </c:numRef>
          </c:val>
        </c:ser>
        <c:ser>
          <c:idx val="1"/>
          <c:order val="1"/>
          <c:tx>
            <c:v>Fitments</c:v>
          </c:tx>
          <c:dLbls>
            <c:txPr>
              <a:bodyPr/>
              <a:lstStyle/>
              <a:p>
                <a:pPr>
                  <a:defRPr lang="en-ZA"/>
                </a:pPr>
                <a:endParaRPr lang="en-US"/>
              </a:p>
            </c:txPr>
            <c:showVal val="1"/>
          </c:dLbls>
          <c:cat>
            <c:multiLvlStrRef>
              <c:f>'Week 1 Stats'!#REF!</c:f>
            </c:multiLvlStrRef>
          </c:cat>
          <c:val>
            <c:numRef>
              <c:f>'Week 1 Stats'!$H$14</c:f>
              <c:numCache>
                <c:formatCode>General</c:formatCode>
                <c:ptCount val="1"/>
                <c:pt idx="0">
                  <c:v>115</c:v>
                </c:pt>
              </c:numCache>
            </c:numRef>
          </c:val>
        </c:ser>
        <c:ser>
          <c:idx val="2"/>
          <c:order val="2"/>
          <c:tx>
            <c:v>Maintnenace Fitments</c:v>
          </c:tx>
          <c:dLbls>
            <c:txPr>
              <a:bodyPr/>
              <a:lstStyle/>
              <a:p>
                <a:pPr>
                  <a:defRPr lang="en-ZA"/>
                </a:pPr>
                <a:endParaRPr lang="en-US"/>
              </a:p>
            </c:txPr>
            <c:showVal val="1"/>
          </c:dLbls>
          <c:cat>
            <c:multiLvlStrRef>
              <c:f>'Week 1 Stats'!#REF!</c:f>
            </c:multiLvlStrRef>
          </c:cat>
          <c:val>
            <c:numRef>
              <c:f>'Week 1 Stats'!$E$47</c:f>
              <c:numCache>
                <c:formatCode>General</c:formatCode>
                <c:ptCount val="1"/>
                <c:pt idx="0">
                  <c:v>476</c:v>
                </c:pt>
              </c:numCache>
            </c:numRef>
          </c:val>
        </c:ser>
        <c:ser>
          <c:idx val="3"/>
          <c:order val="3"/>
          <c:tx>
            <c:v>Maintnenace Collected</c:v>
          </c:tx>
          <c:dLbls>
            <c:txPr>
              <a:bodyPr/>
              <a:lstStyle/>
              <a:p>
                <a:pPr>
                  <a:defRPr lang="en-ZA"/>
                </a:pPr>
                <a:endParaRPr lang="en-US"/>
              </a:p>
            </c:txPr>
            <c:showVal val="1"/>
          </c:dLbls>
          <c:cat>
            <c:multiLvlStrRef>
              <c:f>'Week 1 Stats'!#REF!</c:f>
            </c:multiLvlStrRef>
          </c:cat>
          <c:val>
            <c:numRef>
              <c:f>'Week 1 Stats'!$C$47</c:f>
              <c:numCache>
                <c:formatCode>General</c:formatCode>
                <c:ptCount val="1"/>
                <c:pt idx="0">
                  <c:v>336</c:v>
                </c:pt>
              </c:numCache>
            </c:numRef>
          </c:val>
        </c:ser>
        <c:ser>
          <c:idx val="4"/>
          <c:order val="4"/>
          <c:tx>
            <c:v>Contractors</c:v>
          </c:tx>
          <c:dLbls>
            <c:txPr>
              <a:bodyPr/>
              <a:lstStyle/>
              <a:p>
                <a:pPr>
                  <a:defRPr lang="en-ZA"/>
                </a:pPr>
                <a:endParaRPr lang="en-US"/>
              </a:p>
            </c:txPr>
            <c:showVal val="1"/>
          </c:dLbls>
          <c:cat>
            <c:multiLvlStrRef>
              <c:f>'Week 1 Stats'!#REF!</c:f>
            </c:multiLvlStrRef>
          </c:cat>
          <c:val>
            <c:numRef>
              <c:f>'Week 1 Stats'!$B$68</c:f>
              <c:numCache>
                <c:formatCode>General</c:formatCode>
                <c:ptCount val="1"/>
                <c:pt idx="0">
                  <c:v>74</c:v>
                </c:pt>
              </c:numCache>
            </c:numRef>
          </c:val>
        </c:ser>
        <c:ser>
          <c:idx val="5"/>
          <c:order val="5"/>
          <c:tx>
            <c:v>New Recruits</c:v>
          </c:tx>
          <c:dLbls>
            <c:txPr>
              <a:bodyPr/>
              <a:lstStyle/>
              <a:p>
                <a:pPr>
                  <a:defRPr lang="en-ZA"/>
                </a:pPr>
                <a:endParaRPr lang="en-US"/>
              </a:p>
            </c:txPr>
            <c:showVal val="1"/>
          </c:dLbls>
          <c:cat>
            <c:multiLvlStrRef>
              <c:f>'Week 1 Stats'!#REF!</c:f>
            </c:multiLvlStrRef>
          </c:cat>
          <c:val>
            <c:numRef>
              <c:f>'Week 1 Stats'!$D$68</c:f>
              <c:numCache>
                <c:formatCode>General</c:formatCode>
                <c:ptCount val="1"/>
                <c:pt idx="0">
                  <c:v>63</c:v>
                </c:pt>
              </c:numCache>
            </c:numRef>
          </c:val>
        </c:ser>
        <c:ser>
          <c:idx val="6"/>
          <c:order val="6"/>
          <c:tx>
            <c:v>Employees Not Paraded</c:v>
          </c:tx>
          <c:dLbls>
            <c:txPr>
              <a:bodyPr/>
              <a:lstStyle/>
              <a:p>
                <a:pPr>
                  <a:defRPr lang="en-ZA"/>
                </a:pPr>
                <a:endParaRPr lang="en-US"/>
              </a:p>
            </c:txPr>
            <c:showVal val="1"/>
          </c:dLbls>
          <c:cat>
            <c:multiLvlStrRef>
              <c:f>'Week 1 Stats'!#REF!</c:f>
            </c:multiLvlStrRef>
          </c:cat>
          <c:val>
            <c:numRef>
              <c:f>'Week 1 Stats'!$I$29</c:f>
              <c:numCache>
                <c:formatCode>General</c:formatCode>
                <c:ptCount val="1"/>
                <c:pt idx="0">
                  <c:v>180</c:v>
                </c:pt>
              </c:numCache>
            </c:numRef>
          </c:val>
        </c:ser>
        <c:ser>
          <c:idx val="7"/>
          <c:order val="7"/>
          <c:tx>
            <c:v>2 Year Claim</c:v>
          </c:tx>
          <c:dLbls>
            <c:txPr>
              <a:bodyPr/>
              <a:lstStyle/>
              <a:p>
                <a:pPr>
                  <a:defRPr lang="en-ZA"/>
                </a:pPr>
                <a:endParaRPr lang="en-US"/>
              </a:p>
            </c:txPr>
            <c:showVal val="1"/>
          </c:dLbls>
          <c:cat>
            <c:multiLvlStrRef>
              <c:f>'Week 1 Stats'!#REF!</c:f>
            </c:multiLvlStrRef>
          </c:cat>
          <c:val>
            <c:numRef>
              <c:f>'Week 1 Stats'!$F$68</c:f>
              <c:numCache>
                <c:formatCode>General</c:formatCode>
                <c:ptCount val="1"/>
                <c:pt idx="0">
                  <c:v>54</c:v>
                </c:pt>
              </c:numCache>
            </c:numRef>
          </c:val>
        </c:ser>
        <c:ser>
          <c:idx val="8"/>
          <c:order val="8"/>
          <c:tx>
            <c:v>5 Year Claim</c:v>
          </c:tx>
          <c:dLbls>
            <c:txPr>
              <a:bodyPr/>
              <a:lstStyle/>
              <a:p>
                <a:pPr>
                  <a:defRPr lang="en-ZA"/>
                </a:pPr>
                <a:endParaRPr lang="en-US"/>
              </a:p>
            </c:txPr>
            <c:showVal val="1"/>
          </c:dLbls>
          <c:cat>
            <c:multiLvlStrRef>
              <c:f>'Week 1 Stats'!#REF!</c:f>
            </c:multiLvlStrRef>
          </c:cat>
          <c:val>
            <c:numRef>
              <c:f>'Week 1 Stats'!$H$68</c:f>
              <c:numCache>
                <c:formatCode>General</c:formatCode>
                <c:ptCount val="1"/>
                <c:pt idx="0">
                  <c:v>4</c:v>
                </c:pt>
              </c:numCache>
            </c:numRef>
          </c:val>
        </c:ser>
        <c:dLbls>
          <c:showVal val="1"/>
        </c:dLbls>
        <c:axId val="83870080"/>
        <c:axId val="83871616"/>
      </c:barChart>
      <c:catAx>
        <c:axId val="83870080"/>
        <c:scaling>
          <c:orientation val="minMax"/>
        </c:scaling>
        <c:delete val="1"/>
        <c:axPos val="b"/>
        <c:numFmt formatCode="yyyy\/mm\/dd" sourceLinked="1"/>
        <c:tickLblPos val="none"/>
        <c:crossAx val="83871616"/>
        <c:crosses val="autoZero"/>
        <c:auto val="1"/>
        <c:lblAlgn val="ctr"/>
        <c:lblOffset val="100"/>
      </c:catAx>
      <c:valAx>
        <c:axId val="83871616"/>
        <c:scaling>
          <c:orientation val="minMax"/>
        </c:scaling>
        <c:axPos val="l"/>
        <c:majorGridlines/>
        <c:title>
          <c:tx>
            <c:rich>
              <a:bodyPr/>
              <a:lstStyle/>
              <a:p>
                <a:pPr>
                  <a:defRPr lang="en-ZA"/>
                </a:pPr>
                <a:r>
                  <a:rPr lang="af-ZA"/>
                  <a:t>Qty</a:t>
                </a:r>
              </a:p>
            </c:rich>
          </c:tx>
          <c:layout>
            <c:manualLayout>
              <c:xMode val="edge"/>
              <c:yMode val="edge"/>
              <c:x val="1.5794669299111583E-2"/>
              <c:y val="0.5787297167964518"/>
            </c:manualLayout>
          </c:layout>
        </c:title>
        <c:numFmt formatCode="General" sourceLinked="1"/>
        <c:tickLblPos val="nextTo"/>
        <c:txPr>
          <a:bodyPr rot="0" vert="horz"/>
          <a:lstStyle/>
          <a:p>
            <a:pPr>
              <a:defRPr lang="en-ZA"/>
            </a:pPr>
            <a:endParaRPr lang="en-US"/>
          </a:p>
        </c:txPr>
        <c:crossAx val="83870080"/>
        <c:crosses val="autoZero"/>
        <c:crossBetween val="between"/>
      </c:valAx>
    </c:plotArea>
    <c:legend>
      <c:legendPos val="t"/>
      <c:layout>
        <c:manualLayout>
          <c:xMode val="edge"/>
          <c:yMode val="edge"/>
          <c:x val="0.19249753208292264"/>
          <c:y val="0.14502776931889039"/>
          <c:w val="0.6920039486673244"/>
          <c:h val="0.11602224445701222"/>
        </c:manualLayout>
      </c:layout>
      <c:txPr>
        <a:bodyPr/>
        <a:lstStyle/>
        <a:p>
          <a:pPr>
            <a:defRPr lang="en-ZA"/>
          </a:pPr>
          <a:endParaRPr lang="en-US"/>
        </a:p>
      </c:txPr>
    </c:legend>
    <c:plotVisOnly val="1"/>
    <c:dispBlanksAs val="gap"/>
  </c:chart>
  <c:printSettings>
    <c:headerFooter alignWithMargins="0"/>
    <c:pageMargins b="1" l="0.75000000000000133" r="0.750000000000001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 week ending 2013-01-28</a:t>
            </a:r>
          </a:p>
        </c:rich>
      </c:tx>
      <c:layout>
        <c:manualLayout>
          <c:xMode val="edge"/>
          <c:yMode val="edge"/>
          <c:x val="0.20098532511022388"/>
          <c:y val="9.655172413793104E-3"/>
        </c:manualLayout>
      </c:layout>
      <c:spPr>
        <a:noFill/>
        <a:ln w="25400">
          <a:noFill/>
        </a:ln>
      </c:spPr>
    </c:title>
    <c:view3D>
      <c:perspective val="0"/>
    </c:view3D>
    <c:plotArea>
      <c:layout>
        <c:manualLayout>
          <c:layoutTarget val="inner"/>
          <c:xMode val="edge"/>
          <c:yMode val="edge"/>
          <c:x val="6.5682479345254329E-3"/>
          <c:y val="0.31720712177554311"/>
          <c:w val="0.98292272086678756"/>
          <c:h val="0.58276453602974854"/>
        </c:manualLayout>
      </c:layout>
      <c:pie3DChart>
        <c:varyColors val="1"/>
        <c:ser>
          <c:idx val="0"/>
          <c:order val="0"/>
          <c:tx>
            <c:strRef>
              <c:f>'Week 1 Stats'!$C$19:$H$19</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1 Stats'!$C$19:$H$19</c:f>
              <c:strCache>
                <c:ptCount val="6"/>
                <c:pt idx="0">
                  <c:v>Leave</c:v>
                </c:pt>
                <c:pt idx="1">
                  <c:v>Discharged</c:v>
                </c:pt>
                <c:pt idx="2">
                  <c:v>Transferred to other Shaft / Area</c:v>
                </c:pt>
                <c:pt idx="3">
                  <c:v>Sick Leave</c:v>
                </c:pt>
                <c:pt idx="4">
                  <c:v>Training</c:v>
                </c:pt>
                <c:pt idx="5">
                  <c:v>Other</c:v>
                </c:pt>
              </c:strCache>
            </c:strRef>
          </c:cat>
          <c:val>
            <c:numRef>
              <c:f>'Week 1 Stats'!$C$29:$H$29</c:f>
              <c:numCache>
                <c:formatCode>General</c:formatCode>
                <c:ptCount val="6"/>
                <c:pt idx="0">
                  <c:v>2</c:v>
                </c:pt>
                <c:pt idx="1">
                  <c:v>100</c:v>
                </c:pt>
                <c:pt idx="2">
                  <c:v>27</c:v>
                </c:pt>
                <c:pt idx="3">
                  <c:v>0</c:v>
                </c:pt>
                <c:pt idx="4">
                  <c:v>38</c:v>
                </c:pt>
                <c:pt idx="5">
                  <c:v>13</c:v>
                </c:pt>
              </c:numCache>
            </c:numRef>
          </c:val>
        </c:ser>
        <c:dLbls>
          <c:showLegendKey val="1"/>
          <c:showPercent val="1"/>
        </c:dLbls>
      </c:pie3DChart>
      <c:spPr>
        <a:noFill/>
        <a:ln w="25400">
          <a:noFill/>
        </a:ln>
      </c:spPr>
    </c:plotArea>
    <c:legend>
      <c:legendPos val="t"/>
      <c:layout>
        <c:manualLayout>
          <c:xMode val="edge"/>
          <c:yMode val="edge"/>
          <c:x val="0.1077175697865355"/>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week ending 2013-02-03</a:t>
            </a:r>
          </a:p>
        </c:rich>
      </c:tx>
      <c:layout>
        <c:manualLayout>
          <c:xMode val="edge"/>
          <c:yMode val="edge"/>
          <c:x val="0.22123914451696547"/>
          <c:y val="1.1049723756906087E-2"/>
        </c:manualLayout>
      </c:layout>
    </c:title>
    <c:plotArea>
      <c:layout>
        <c:manualLayout>
          <c:layoutTarget val="inner"/>
          <c:xMode val="edge"/>
          <c:yMode val="edge"/>
          <c:x val="0.19299839732422883"/>
          <c:y val="0.1403573537047707"/>
          <c:w val="0.78209173705794155"/>
          <c:h val="0.68052806407329169"/>
        </c:manualLayout>
      </c:layout>
      <c:barChart>
        <c:barDir val="col"/>
        <c:grouping val="clustered"/>
        <c:ser>
          <c:idx val="0"/>
          <c:order val="0"/>
          <c:tx>
            <c:strRef>
              <c:f>'Week 2 Stats'!$D$4</c:f>
              <c:strCache>
                <c:ptCount val="1"/>
                <c:pt idx="0">
                  <c:v>Quantity Paraded</c:v>
                </c:pt>
              </c:strCache>
            </c:strRef>
          </c:tx>
          <c:dLbls>
            <c:txPr>
              <a:bodyPr/>
              <a:lstStyle/>
              <a:p>
                <a:pPr>
                  <a:defRPr lang="en-ZA"/>
                </a:pPr>
                <a:endParaRPr lang="en-US"/>
              </a:p>
            </c:txPr>
            <c:showVal val="1"/>
          </c:dLbls>
          <c:cat>
            <c:multiLvlStrRef>
              <c:f>'Week 2 Stats'!$A$5:$B$11</c:f>
              <c:multiLvlStrCache>
                <c:ptCount val="7"/>
                <c:lvl>
                  <c:pt idx="0">
                    <c:v>16#</c:v>
                  </c:pt>
                  <c:pt idx="1">
                    <c:v>17#</c:v>
                  </c:pt>
                  <c:pt idx="2">
                    <c:v>11C#</c:v>
                  </c:pt>
                  <c:pt idx="3">
                    <c:v>11#</c:v>
                  </c:pt>
                  <c:pt idx="4">
                    <c:v>6#</c:v>
                  </c:pt>
                  <c:pt idx="5">
                    <c:v>11C#</c:v>
                  </c:pt>
                  <c:pt idx="6">
                    <c:v>12#</c:v>
                  </c:pt>
                </c:lvl>
                <c:lvl>
                  <c:pt idx="0">
                    <c:v>2013/01/28</c:v>
                  </c:pt>
                  <c:pt idx="1">
                    <c:v>2013/01/28</c:v>
                  </c:pt>
                  <c:pt idx="2">
                    <c:v>2013/01/29</c:v>
                  </c:pt>
                  <c:pt idx="3">
                    <c:v>2013/01/29</c:v>
                  </c:pt>
                  <c:pt idx="4">
                    <c:v>2013/01/30</c:v>
                  </c:pt>
                  <c:pt idx="5">
                    <c:v>2013/01/31</c:v>
                  </c:pt>
                  <c:pt idx="6">
                    <c:v>2013/02/01</c:v>
                  </c:pt>
                </c:lvl>
              </c:multiLvlStrCache>
            </c:multiLvlStrRef>
          </c:cat>
          <c:val>
            <c:numRef>
              <c:f>'Week 2 Stats'!$D$5:$D$11</c:f>
              <c:numCache>
                <c:formatCode>General</c:formatCode>
                <c:ptCount val="7"/>
                <c:pt idx="0">
                  <c:v>17</c:v>
                </c:pt>
                <c:pt idx="1">
                  <c:v>18</c:v>
                </c:pt>
                <c:pt idx="2">
                  <c:v>15</c:v>
                </c:pt>
                <c:pt idx="3">
                  <c:v>40</c:v>
                </c:pt>
                <c:pt idx="4">
                  <c:v>74</c:v>
                </c:pt>
                <c:pt idx="5">
                  <c:v>16</c:v>
                </c:pt>
                <c:pt idx="6">
                  <c:v>79</c:v>
                </c:pt>
              </c:numCache>
            </c:numRef>
          </c:val>
        </c:ser>
        <c:ser>
          <c:idx val="2"/>
          <c:order val="1"/>
          <c:tx>
            <c:strRef>
              <c:f>'Week 2 Stats'!$E$4</c:f>
              <c:strCache>
                <c:ptCount val="1"/>
                <c:pt idx="0">
                  <c:v>Quantity Fitted at Shaft/Area</c:v>
                </c:pt>
              </c:strCache>
            </c:strRef>
          </c:tx>
          <c:dLbls>
            <c:txPr>
              <a:bodyPr/>
              <a:lstStyle/>
              <a:p>
                <a:pPr>
                  <a:defRPr lang="en-ZA"/>
                </a:pPr>
                <a:endParaRPr lang="en-US"/>
              </a:p>
            </c:txPr>
            <c:showVal val="1"/>
          </c:dLbls>
          <c:cat>
            <c:multiLvlStrRef>
              <c:f>'Week 2 Stats'!$A$5:$B$11</c:f>
              <c:multiLvlStrCache>
                <c:ptCount val="7"/>
                <c:lvl>
                  <c:pt idx="0">
                    <c:v>16#</c:v>
                  </c:pt>
                  <c:pt idx="1">
                    <c:v>17#</c:v>
                  </c:pt>
                  <c:pt idx="2">
                    <c:v>11C#</c:v>
                  </c:pt>
                  <c:pt idx="3">
                    <c:v>11#</c:v>
                  </c:pt>
                  <c:pt idx="4">
                    <c:v>6#</c:v>
                  </c:pt>
                  <c:pt idx="5">
                    <c:v>11C#</c:v>
                  </c:pt>
                  <c:pt idx="6">
                    <c:v>12#</c:v>
                  </c:pt>
                </c:lvl>
                <c:lvl>
                  <c:pt idx="0">
                    <c:v>2013/01/28</c:v>
                  </c:pt>
                  <c:pt idx="1">
                    <c:v>2013/01/28</c:v>
                  </c:pt>
                  <c:pt idx="2">
                    <c:v>2013/01/29</c:v>
                  </c:pt>
                  <c:pt idx="3">
                    <c:v>2013/01/29</c:v>
                  </c:pt>
                  <c:pt idx="4">
                    <c:v>2013/01/30</c:v>
                  </c:pt>
                  <c:pt idx="5">
                    <c:v>2013/01/31</c:v>
                  </c:pt>
                  <c:pt idx="6">
                    <c:v>2013/02/01</c:v>
                  </c:pt>
                </c:lvl>
              </c:multiLvlStrCache>
            </c:multiLvlStrRef>
          </c:cat>
          <c:val>
            <c:numRef>
              <c:f>'Week 2 Stats'!$E$5:$E$11</c:f>
              <c:numCache>
                <c:formatCode>General</c:formatCode>
                <c:ptCount val="7"/>
                <c:pt idx="0">
                  <c:v>2</c:v>
                </c:pt>
                <c:pt idx="1">
                  <c:v>3</c:v>
                </c:pt>
                <c:pt idx="2">
                  <c:v>6</c:v>
                </c:pt>
                <c:pt idx="3">
                  <c:v>3</c:v>
                </c:pt>
                <c:pt idx="4">
                  <c:v>38</c:v>
                </c:pt>
                <c:pt idx="5">
                  <c:v>9</c:v>
                </c:pt>
                <c:pt idx="6">
                  <c:v>56</c:v>
                </c:pt>
              </c:numCache>
            </c:numRef>
          </c:val>
        </c:ser>
        <c:ser>
          <c:idx val="3"/>
          <c:order val="2"/>
          <c:tx>
            <c:strRef>
              <c:f>'Week 2 Stats'!$G$4</c:f>
              <c:strCache>
                <c:ptCount val="1"/>
                <c:pt idx="0">
                  <c:v>Quantity Fitted at NC Office</c:v>
                </c:pt>
              </c:strCache>
            </c:strRef>
          </c:tx>
          <c:dLbls>
            <c:txPr>
              <a:bodyPr/>
              <a:lstStyle/>
              <a:p>
                <a:pPr>
                  <a:defRPr lang="en-ZA"/>
                </a:pPr>
                <a:endParaRPr lang="en-US"/>
              </a:p>
            </c:txPr>
            <c:showVal val="1"/>
          </c:dLbls>
          <c:cat>
            <c:multiLvlStrRef>
              <c:f>'Week 2 Stats'!$A$5:$B$11</c:f>
              <c:multiLvlStrCache>
                <c:ptCount val="7"/>
                <c:lvl>
                  <c:pt idx="0">
                    <c:v>16#</c:v>
                  </c:pt>
                  <c:pt idx="1">
                    <c:v>17#</c:v>
                  </c:pt>
                  <c:pt idx="2">
                    <c:v>11C#</c:v>
                  </c:pt>
                  <c:pt idx="3">
                    <c:v>11#</c:v>
                  </c:pt>
                  <c:pt idx="4">
                    <c:v>6#</c:v>
                  </c:pt>
                  <c:pt idx="5">
                    <c:v>11C#</c:v>
                  </c:pt>
                  <c:pt idx="6">
                    <c:v>12#</c:v>
                  </c:pt>
                </c:lvl>
                <c:lvl>
                  <c:pt idx="0">
                    <c:v>2013/01/28</c:v>
                  </c:pt>
                  <c:pt idx="1">
                    <c:v>2013/01/28</c:v>
                  </c:pt>
                  <c:pt idx="2">
                    <c:v>2013/01/29</c:v>
                  </c:pt>
                  <c:pt idx="3">
                    <c:v>2013/01/29</c:v>
                  </c:pt>
                  <c:pt idx="4">
                    <c:v>2013/01/30</c:v>
                  </c:pt>
                  <c:pt idx="5">
                    <c:v>2013/01/31</c:v>
                  </c:pt>
                  <c:pt idx="6">
                    <c:v>2013/02/01</c:v>
                  </c:pt>
                </c:lvl>
              </c:multiLvlStrCache>
            </c:multiLvlStrRef>
          </c:cat>
          <c:val>
            <c:numRef>
              <c:f>'Week 2 Stats'!$G$5:$G$11</c:f>
              <c:numCache>
                <c:formatCode>General</c:formatCode>
                <c:ptCount val="7"/>
                <c:pt idx="0">
                  <c:v>8</c:v>
                </c:pt>
                <c:pt idx="2">
                  <c:v>12</c:v>
                </c:pt>
                <c:pt idx="4">
                  <c:v>2</c:v>
                </c:pt>
                <c:pt idx="5">
                  <c:v>5</c:v>
                </c:pt>
                <c:pt idx="6">
                  <c:v>14</c:v>
                </c:pt>
              </c:numCache>
            </c:numRef>
          </c:val>
        </c:ser>
        <c:dLbls>
          <c:showVal val="1"/>
        </c:dLbls>
        <c:axId val="84304256"/>
        <c:axId val="84305792"/>
      </c:barChart>
      <c:catAx>
        <c:axId val="84304256"/>
        <c:scaling>
          <c:orientation val="minMax"/>
        </c:scaling>
        <c:axPos val="b"/>
        <c:numFmt formatCode="yyyy\/mm\/dd" sourceLinked="1"/>
        <c:tickLblPos val="nextTo"/>
        <c:txPr>
          <a:bodyPr rot="0" vert="horz"/>
          <a:lstStyle/>
          <a:p>
            <a:pPr>
              <a:defRPr lang="en-ZA"/>
            </a:pPr>
            <a:endParaRPr lang="en-US"/>
          </a:p>
        </c:txPr>
        <c:crossAx val="84305792"/>
        <c:crosses val="autoZero"/>
        <c:auto val="1"/>
        <c:lblAlgn val="ctr"/>
        <c:lblOffset val="100"/>
        <c:tickLblSkip val="1"/>
        <c:tickMarkSkip val="1"/>
      </c:catAx>
      <c:valAx>
        <c:axId val="84305792"/>
        <c:scaling>
          <c:orientation val="minMax"/>
        </c:scaling>
        <c:axPos val="l"/>
        <c:majorGridlines/>
        <c:title>
          <c:tx>
            <c:rich>
              <a:bodyPr/>
              <a:lstStyle/>
              <a:p>
                <a:pPr>
                  <a:defRPr lang="en-ZA"/>
                </a:pPr>
                <a:r>
                  <a:rPr lang="af-ZA"/>
                  <a:t>Qty</a:t>
                </a:r>
              </a:p>
            </c:rich>
          </c:tx>
          <c:layout>
            <c:manualLayout>
              <c:xMode val="edge"/>
              <c:yMode val="edge"/>
              <c:x val="5.8997050147492781E-3"/>
              <c:y val="0.39088426791955161"/>
            </c:manualLayout>
          </c:layout>
        </c:title>
        <c:numFmt formatCode="General" sourceLinked="1"/>
        <c:tickLblPos val="nextTo"/>
        <c:txPr>
          <a:bodyPr rot="0" vert="horz"/>
          <a:lstStyle/>
          <a:p>
            <a:pPr>
              <a:defRPr lang="en-ZA"/>
            </a:pPr>
            <a:endParaRPr lang="en-US"/>
          </a:p>
        </c:txPr>
        <c:crossAx val="84304256"/>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55" r="0.75000000000000155"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Maintenance for week ending </a:t>
            </a:r>
            <a:r>
              <a:rPr lang="af-ZA" sz="1800" b="1" i="0" u="none" strike="noStrike" baseline="0"/>
              <a:t> 2013-02-03</a:t>
            </a:r>
            <a:endParaRPr lang="af-ZA"/>
          </a:p>
        </c:rich>
      </c:tx>
      <c:layout>
        <c:manualLayout>
          <c:xMode val="edge"/>
          <c:yMode val="edge"/>
          <c:x val="0.24161756407667975"/>
          <c:y val="2.6170798898071636E-2"/>
        </c:manualLayout>
      </c:layout>
    </c:title>
    <c:plotArea>
      <c:layout>
        <c:manualLayout>
          <c:layoutTarget val="inner"/>
          <c:xMode val="edge"/>
          <c:yMode val="edge"/>
          <c:x val="0.36390567591384493"/>
          <c:y val="0.23416009458948694"/>
          <c:w val="0.62130237351143902"/>
          <c:h val="0.64963963963964211"/>
        </c:manualLayout>
      </c:layout>
      <c:barChart>
        <c:barDir val="col"/>
        <c:grouping val="clustered"/>
        <c:ser>
          <c:idx val="0"/>
          <c:order val="0"/>
          <c:tx>
            <c:strRef>
              <c:f>'Week 2 Stats'!$B$29</c:f>
              <c:strCache>
                <c:ptCount val="1"/>
                <c:pt idx="0">
                  <c:v>Shaft / Area</c:v>
                </c:pt>
              </c:strCache>
            </c:strRef>
          </c:tx>
          <c:dLbls>
            <c:txPr>
              <a:bodyPr/>
              <a:lstStyle/>
              <a:p>
                <a:pPr>
                  <a:defRPr lang="en-ZA"/>
                </a:pPr>
                <a:endParaRPr lang="en-US"/>
              </a:p>
            </c:txPr>
            <c:showVal val="1"/>
          </c:dLbls>
          <c:cat>
            <c:strRef>
              <c:f>'Week 2 Stats'!$B$30:$B$41</c:f>
              <c:strCache>
                <c:ptCount val="12"/>
                <c:pt idx="0">
                  <c:v>12#</c:v>
                </c:pt>
                <c:pt idx="1">
                  <c:v>20#</c:v>
                </c:pt>
                <c:pt idx="2">
                  <c:v>11#</c:v>
                </c:pt>
                <c:pt idx="3">
                  <c:v>11C#</c:v>
                </c:pt>
                <c:pt idx="4">
                  <c:v>4#</c:v>
                </c:pt>
                <c:pt idx="5">
                  <c:v>6#</c:v>
                </c:pt>
                <c:pt idx="6">
                  <c:v>E&amp;F</c:v>
                </c:pt>
                <c:pt idx="7">
                  <c:v>7A#</c:v>
                </c:pt>
                <c:pt idx="8">
                  <c:v>12#</c:v>
                </c:pt>
                <c:pt idx="9">
                  <c:v>2#</c:v>
                </c:pt>
                <c:pt idx="10">
                  <c:v>Minpro</c:v>
                </c:pt>
                <c:pt idx="11">
                  <c:v>14#</c:v>
                </c:pt>
              </c:strCache>
            </c:strRef>
          </c:cat>
          <c:val>
            <c:numRef>
              <c:f>'Week 2 Stats'!$B$30:$B$41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'Week 2 Stats'!$C$29</c:f>
              <c:strCache>
                <c:ptCount val="1"/>
                <c:pt idx="0">
                  <c:v>Quantity Collected from Shaft</c:v>
                </c:pt>
              </c:strCache>
            </c:strRef>
          </c:tx>
          <c:dLbls>
            <c:txPr>
              <a:bodyPr/>
              <a:lstStyle/>
              <a:p>
                <a:pPr>
                  <a:defRPr lang="en-ZA"/>
                </a:pPr>
                <a:endParaRPr lang="en-US"/>
              </a:p>
            </c:txPr>
            <c:showVal val="1"/>
          </c:dLbls>
          <c:cat>
            <c:strRef>
              <c:f>'Week 2 Stats'!$B$30:$B$41</c:f>
              <c:strCache>
                <c:ptCount val="12"/>
                <c:pt idx="0">
                  <c:v>12#</c:v>
                </c:pt>
                <c:pt idx="1">
                  <c:v>20#</c:v>
                </c:pt>
                <c:pt idx="2">
                  <c:v>11#</c:v>
                </c:pt>
                <c:pt idx="3">
                  <c:v>11C#</c:v>
                </c:pt>
                <c:pt idx="4">
                  <c:v>4#</c:v>
                </c:pt>
                <c:pt idx="5">
                  <c:v>6#</c:v>
                </c:pt>
                <c:pt idx="6">
                  <c:v>E&amp;F</c:v>
                </c:pt>
                <c:pt idx="7">
                  <c:v>7A#</c:v>
                </c:pt>
                <c:pt idx="8">
                  <c:v>12#</c:v>
                </c:pt>
                <c:pt idx="9">
                  <c:v>2#</c:v>
                </c:pt>
                <c:pt idx="10">
                  <c:v>Minpro</c:v>
                </c:pt>
                <c:pt idx="11">
                  <c:v>14#</c:v>
                </c:pt>
              </c:strCache>
            </c:strRef>
          </c:cat>
          <c:val>
            <c:numRef>
              <c:f>'Week 2 Stats'!$C$30:$C$41</c:f>
              <c:numCache>
                <c:formatCode>General</c:formatCode>
                <c:ptCount val="12"/>
                <c:pt idx="0">
                  <c:v>5</c:v>
                </c:pt>
                <c:pt idx="1">
                  <c:v>8</c:v>
                </c:pt>
                <c:pt idx="2">
                  <c:v>57</c:v>
                </c:pt>
                <c:pt idx="3">
                  <c:v>6</c:v>
                </c:pt>
                <c:pt idx="4">
                  <c:v>3</c:v>
                </c:pt>
                <c:pt idx="5">
                  <c:v>13</c:v>
                </c:pt>
                <c:pt idx="6">
                  <c:v>14</c:v>
                </c:pt>
                <c:pt idx="7">
                  <c:v>38</c:v>
                </c:pt>
                <c:pt idx="8">
                  <c:v>75</c:v>
                </c:pt>
                <c:pt idx="9">
                  <c:v>1</c:v>
                </c:pt>
                <c:pt idx="10">
                  <c:v>28</c:v>
                </c:pt>
                <c:pt idx="11">
                  <c:v>33</c:v>
                </c:pt>
              </c:numCache>
            </c:numRef>
          </c:val>
        </c:ser>
        <c:ser>
          <c:idx val="2"/>
          <c:order val="2"/>
          <c:tx>
            <c:strRef>
              <c:f>'Week 2 Stats'!$D$29</c:f>
              <c:strCache>
                <c:ptCount val="1"/>
                <c:pt idx="0">
                  <c:v>Quantity employees going on leave and did not hand in their Noise Clippers</c:v>
                </c:pt>
              </c:strCache>
            </c:strRef>
          </c:tx>
          <c:dLbls>
            <c:txPr>
              <a:bodyPr/>
              <a:lstStyle/>
              <a:p>
                <a:pPr>
                  <a:defRPr lang="en-ZA"/>
                </a:pPr>
                <a:endParaRPr lang="en-US"/>
              </a:p>
            </c:txPr>
            <c:showVal val="1"/>
          </c:dLbls>
          <c:cat>
            <c:strRef>
              <c:f>'Week 2 Stats'!$B$30:$B$41</c:f>
              <c:strCache>
                <c:ptCount val="12"/>
                <c:pt idx="0">
                  <c:v>12#</c:v>
                </c:pt>
                <c:pt idx="1">
                  <c:v>20#</c:v>
                </c:pt>
                <c:pt idx="2">
                  <c:v>11#</c:v>
                </c:pt>
                <c:pt idx="3">
                  <c:v>11C#</c:v>
                </c:pt>
                <c:pt idx="4">
                  <c:v>4#</c:v>
                </c:pt>
                <c:pt idx="5">
                  <c:v>6#</c:v>
                </c:pt>
                <c:pt idx="6">
                  <c:v>E&amp;F</c:v>
                </c:pt>
                <c:pt idx="7">
                  <c:v>7A#</c:v>
                </c:pt>
                <c:pt idx="8">
                  <c:v>12#</c:v>
                </c:pt>
                <c:pt idx="9">
                  <c:v>2#</c:v>
                </c:pt>
                <c:pt idx="10">
                  <c:v>Minpro</c:v>
                </c:pt>
                <c:pt idx="11">
                  <c:v>14#</c:v>
                </c:pt>
              </c:strCache>
            </c:strRef>
          </c:cat>
          <c:val>
            <c:numRef>
              <c:f>'Week 2 Stats'!$D$30:$D$41</c:f>
              <c:numCache>
                <c:formatCode>General</c:formatCode>
                <c:ptCount val="12"/>
                <c:pt idx="0">
                  <c:v>4</c:v>
                </c:pt>
                <c:pt idx="1">
                  <c:v>3</c:v>
                </c:pt>
                <c:pt idx="2">
                  <c:v>9</c:v>
                </c:pt>
                <c:pt idx="3">
                  <c:v>3</c:v>
                </c:pt>
                <c:pt idx="4">
                  <c:v>3</c:v>
                </c:pt>
                <c:pt idx="5">
                  <c:v>5</c:v>
                </c:pt>
                <c:pt idx="6">
                  <c:v>2</c:v>
                </c:pt>
                <c:pt idx="7">
                  <c:v>5</c:v>
                </c:pt>
                <c:pt idx="8">
                  <c:v>9</c:v>
                </c:pt>
                <c:pt idx="9">
                  <c:v>0</c:v>
                </c:pt>
                <c:pt idx="10">
                  <c:v>7</c:v>
                </c:pt>
                <c:pt idx="11">
                  <c:v>6</c:v>
                </c:pt>
              </c:numCache>
            </c:numRef>
          </c:val>
        </c:ser>
        <c:dLbls>
          <c:showVal val="1"/>
        </c:dLbls>
        <c:axId val="84367232"/>
        <c:axId val="84368768"/>
      </c:barChart>
      <c:catAx>
        <c:axId val="84367232"/>
        <c:scaling>
          <c:orientation val="minMax"/>
        </c:scaling>
        <c:axPos val="b"/>
        <c:numFmt formatCode="General" sourceLinked="1"/>
        <c:tickLblPos val="nextTo"/>
        <c:txPr>
          <a:bodyPr rot="0" vert="horz"/>
          <a:lstStyle/>
          <a:p>
            <a:pPr>
              <a:defRPr lang="en-ZA"/>
            </a:pPr>
            <a:endParaRPr lang="en-US"/>
          </a:p>
        </c:txPr>
        <c:crossAx val="84368768"/>
        <c:crosses val="autoZero"/>
        <c:auto val="1"/>
        <c:lblAlgn val="ctr"/>
        <c:lblOffset val="100"/>
        <c:tickLblSkip val="1"/>
        <c:tickMarkSkip val="1"/>
      </c:catAx>
      <c:valAx>
        <c:axId val="84368768"/>
        <c:scaling>
          <c:orientation val="minMax"/>
        </c:scaling>
        <c:axPos val="l"/>
        <c:majorGridlines/>
        <c:title>
          <c:tx>
            <c:rich>
              <a:bodyPr/>
              <a:lstStyle/>
              <a:p>
                <a:pPr>
                  <a:defRPr lang="en-ZA"/>
                </a:pPr>
                <a:r>
                  <a:rPr lang="af-ZA"/>
                  <a:t>Qty</a:t>
                </a:r>
              </a:p>
            </c:rich>
          </c:tx>
          <c:layout>
            <c:manualLayout>
              <c:xMode val="edge"/>
              <c:yMode val="edge"/>
              <c:x val="1.7751479289940877E-2"/>
              <c:y val="0.48760402883523857"/>
            </c:manualLayout>
          </c:layout>
        </c:title>
        <c:numFmt formatCode="General" sourceLinked="1"/>
        <c:tickLblPos val="nextTo"/>
        <c:txPr>
          <a:bodyPr rot="0" vert="horz"/>
          <a:lstStyle/>
          <a:p>
            <a:pPr>
              <a:defRPr lang="en-ZA"/>
            </a:pPr>
            <a:endParaRPr lang="en-US"/>
          </a:p>
        </c:txPr>
        <c:crossAx val="84367232"/>
        <c:crosses val="autoZero"/>
        <c:crossBetween val="between"/>
      </c:valAx>
      <c:dTable>
        <c:showHorzBorder val="1"/>
        <c:showVertBorder val="1"/>
        <c:showOutline val="1"/>
        <c:showKeys val="1"/>
        <c:txPr>
          <a:bodyPr/>
          <a:lstStyle/>
          <a:p>
            <a:pPr>
              <a:defRPr lang="en-ZA"/>
            </a:pPr>
            <a:endParaRPr lang="en-US"/>
          </a:p>
        </c:txPr>
      </c:dTable>
    </c:plotArea>
    <c:legend>
      <c:legendPos val="t"/>
      <c:layout>
        <c:manualLayout>
          <c:xMode val="edge"/>
          <c:yMode val="edge"/>
          <c:x val="5.9171597633136293E-3"/>
          <c:y val="0.12819607008583386"/>
          <c:w val="0.80296406736140269"/>
          <c:h val="3.2581825920408605E-2"/>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Combined Stats for week ending </a:t>
            </a:r>
            <a:r>
              <a:rPr lang="af-ZA" sz="1800" b="1" i="0" u="none" strike="noStrike" baseline="0"/>
              <a:t>2013-02-03</a:t>
            </a:r>
            <a:endParaRPr lang="af-ZA"/>
          </a:p>
        </c:rich>
      </c:tx>
      <c:layout>
        <c:manualLayout>
          <c:xMode val="edge"/>
          <c:yMode val="edge"/>
          <c:x val="0.24942415268180326"/>
          <c:y val="1.5403054293010128E-2"/>
        </c:manualLayout>
      </c:layout>
    </c:title>
    <c:plotArea>
      <c:layout>
        <c:manualLayout>
          <c:layoutTarget val="inner"/>
          <c:xMode val="edge"/>
          <c:yMode val="edge"/>
          <c:x val="9.1806515301085898E-2"/>
          <c:y val="0.29834274264525956"/>
          <c:w val="0.89437314906219156"/>
          <c:h val="0.61464129850528171"/>
        </c:manualLayout>
      </c:layout>
      <c:barChart>
        <c:barDir val="col"/>
        <c:grouping val="clustered"/>
        <c:ser>
          <c:idx val="0"/>
          <c:order val="0"/>
          <c:tx>
            <c:v>Impressions</c:v>
          </c:tx>
          <c:dLbls>
            <c:txPr>
              <a:bodyPr/>
              <a:lstStyle/>
              <a:p>
                <a:pPr>
                  <a:defRPr lang="en-ZA"/>
                </a:pPr>
                <a:endParaRPr lang="en-US"/>
              </a:p>
            </c:txPr>
            <c:showVal val="1"/>
          </c:dLbls>
          <c:cat>
            <c:multiLvlStrRef>
              <c:f>'Week 1 Stats'!#REF!</c:f>
            </c:multiLvlStrRef>
          </c:cat>
          <c:val>
            <c:numRef>
              <c:f>'Week 2 Stats'!$U$53</c:f>
              <c:numCache>
                <c:formatCode>General</c:formatCode>
                <c:ptCount val="1"/>
                <c:pt idx="0">
                  <c:v>179</c:v>
                </c:pt>
              </c:numCache>
            </c:numRef>
          </c:val>
        </c:ser>
        <c:ser>
          <c:idx val="1"/>
          <c:order val="1"/>
          <c:tx>
            <c:v>Fitments</c:v>
          </c:tx>
          <c:dLbls>
            <c:txPr>
              <a:bodyPr/>
              <a:lstStyle/>
              <a:p>
                <a:pPr>
                  <a:defRPr lang="en-ZA"/>
                </a:pPr>
                <a:endParaRPr lang="en-US"/>
              </a:p>
            </c:txPr>
            <c:showVal val="1"/>
          </c:dLbls>
          <c:cat>
            <c:multiLvlStrRef>
              <c:f>'Week 1 Stats'!#REF!</c:f>
            </c:multiLvlStrRef>
          </c:cat>
          <c:val>
            <c:numRef>
              <c:f>'Week 2 Stats'!$H$12</c:f>
              <c:numCache>
                <c:formatCode>General</c:formatCode>
                <c:ptCount val="1"/>
                <c:pt idx="0">
                  <c:v>158</c:v>
                </c:pt>
              </c:numCache>
            </c:numRef>
          </c:val>
        </c:ser>
        <c:ser>
          <c:idx val="2"/>
          <c:order val="2"/>
          <c:tx>
            <c:v>Maintnenace Fitments</c:v>
          </c:tx>
          <c:dLbls>
            <c:txPr>
              <a:bodyPr/>
              <a:lstStyle/>
              <a:p>
                <a:pPr>
                  <a:defRPr lang="en-ZA"/>
                </a:pPr>
                <a:endParaRPr lang="en-US"/>
              </a:p>
            </c:txPr>
            <c:showVal val="1"/>
          </c:dLbls>
          <c:cat>
            <c:multiLvlStrRef>
              <c:f>'Week 1 Stats'!#REF!</c:f>
            </c:multiLvlStrRef>
          </c:cat>
          <c:val>
            <c:numRef>
              <c:f>'Week 2 Stats'!$E$42</c:f>
              <c:numCache>
                <c:formatCode>General</c:formatCode>
                <c:ptCount val="1"/>
                <c:pt idx="0">
                  <c:v>279</c:v>
                </c:pt>
              </c:numCache>
            </c:numRef>
          </c:val>
        </c:ser>
        <c:ser>
          <c:idx val="3"/>
          <c:order val="3"/>
          <c:tx>
            <c:v>Maintnenace Collected</c:v>
          </c:tx>
          <c:dLbls>
            <c:txPr>
              <a:bodyPr/>
              <a:lstStyle/>
              <a:p>
                <a:pPr>
                  <a:defRPr lang="en-ZA"/>
                </a:pPr>
                <a:endParaRPr lang="en-US"/>
              </a:p>
            </c:txPr>
            <c:showVal val="1"/>
          </c:dLbls>
          <c:cat>
            <c:multiLvlStrRef>
              <c:f>'Week 1 Stats'!#REF!</c:f>
            </c:multiLvlStrRef>
          </c:cat>
          <c:val>
            <c:numRef>
              <c:f>'Week 2 Stats'!$C$42</c:f>
              <c:numCache>
                <c:formatCode>General</c:formatCode>
                <c:ptCount val="1"/>
                <c:pt idx="0">
                  <c:v>281</c:v>
                </c:pt>
              </c:numCache>
            </c:numRef>
          </c:val>
        </c:ser>
        <c:ser>
          <c:idx val="4"/>
          <c:order val="4"/>
          <c:tx>
            <c:v>Contractors</c:v>
          </c:tx>
          <c:dLbls>
            <c:txPr>
              <a:bodyPr/>
              <a:lstStyle/>
              <a:p>
                <a:pPr>
                  <a:defRPr lang="en-ZA"/>
                </a:pPr>
                <a:endParaRPr lang="en-US"/>
              </a:p>
            </c:txPr>
            <c:showVal val="1"/>
          </c:dLbls>
          <c:cat>
            <c:multiLvlStrRef>
              <c:f>'Week 1 Stats'!#REF!</c:f>
            </c:multiLvlStrRef>
          </c:cat>
          <c:val>
            <c:numRef>
              <c:f>'Week 2 Stats'!$B$63</c:f>
              <c:numCache>
                <c:formatCode>General</c:formatCode>
                <c:ptCount val="1"/>
                <c:pt idx="0">
                  <c:v>50</c:v>
                </c:pt>
              </c:numCache>
            </c:numRef>
          </c:val>
        </c:ser>
        <c:ser>
          <c:idx val="5"/>
          <c:order val="5"/>
          <c:tx>
            <c:v>New Recruits</c:v>
          </c:tx>
          <c:dLbls>
            <c:txPr>
              <a:bodyPr/>
              <a:lstStyle/>
              <a:p>
                <a:pPr>
                  <a:defRPr lang="en-ZA"/>
                </a:pPr>
                <a:endParaRPr lang="en-US"/>
              </a:p>
            </c:txPr>
            <c:showVal val="1"/>
          </c:dLbls>
          <c:cat>
            <c:multiLvlStrRef>
              <c:f>'Week 1 Stats'!#REF!</c:f>
            </c:multiLvlStrRef>
          </c:cat>
          <c:val>
            <c:numRef>
              <c:f>'Week 2 Stats'!$D$63</c:f>
              <c:numCache>
                <c:formatCode>General</c:formatCode>
                <c:ptCount val="1"/>
                <c:pt idx="0">
                  <c:v>75</c:v>
                </c:pt>
              </c:numCache>
            </c:numRef>
          </c:val>
        </c:ser>
        <c:ser>
          <c:idx val="6"/>
          <c:order val="6"/>
          <c:tx>
            <c:v>Employees Not Paraded</c:v>
          </c:tx>
          <c:dLbls>
            <c:txPr>
              <a:bodyPr/>
              <a:lstStyle/>
              <a:p>
                <a:pPr>
                  <a:defRPr lang="en-ZA"/>
                </a:pPr>
                <a:endParaRPr lang="en-US"/>
              </a:p>
            </c:txPr>
            <c:showVal val="1"/>
          </c:dLbls>
          <c:cat>
            <c:multiLvlStrRef>
              <c:f>'Week 1 Stats'!#REF!</c:f>
            </c:multiLvlStrRef>
          </c:cat>
          <c:val>
            <c:numRef>
              <c:f>'Week 2 Stats'!$I$25</c:f>
              <c:numCache>
                <c:formatCode>General</c:formatCode>
                <c:ptCount val="1"/>
                <c:pt idx="0">
                  <c:v>103</c:v>
                </c:pt>
              </c:numCache>
            </c:numRef>
          </c:val>
        </c:ser>
        <c:ser>
          <c:idx val="7"/>
          <c:order val="7"/>
          <c:tx>
            <c:v>2 Year Claim</c:v>
          </c:tx>
          <c:dLbls>
            <c:txPr>
              <a:bodyPr/>
              <a:lstStyle/>
              <a:p>
                <a:pPr>
                  <a:defRPr lang="en-ZA"/>
                </a:pPr>
                <a:endParaRPr lang="en-US"/>
              </a:p>
            </c:txPr>
            <c:showVal val="1"/>
          </c:dLbls>
          <c:cat>
            <c:multiLvlStrRef>
              <c:f>'Week 1 Stats'!#REF!</c:f>
            </c:multiLvlStrRef>
          </c:cat>
          <c:val>
            <c:numRef>
              <c:f>'Week 2 Stats'!$F$63</c:f>
              <c:numCache>
                <c:formatCode>General</c:formatCode>
                <c:ptCount val="1"/>
                <c:pt idx="0">
                  <c:v>67</c:v>
                </c:pt>
              </c:numCache>
            </c:numRef>
          </c:val>
        </c:ser>
        <c:ser>
          <c:idx val="8"/>
          <c:order val="8"/>
          <c:tx>
            <c:v>5 Year Claim</c:v>
          </c:tx>
          <c:dLbls>
            <c:txPr>
              <a:bodyPr/>
              <a:lstStyle/>
              <a:p>
                <a:pPr>
                  <a:defRPr lang="en-ZA"/>
                </a:pPr>
                <a:endParaRPr lang="en-US"/>
              </a:p>
            </c:txPr>
            <c:showVal val="1"/>
          </c:dLbls>
          <c:cat>
            <c:multiLvlStrRef>
              <c:f>'Week 1 Stats'!#REF!</c:f>
            </c:multiLvlStrRef>
          </c:cat>
          <c:val>
            <c:numRef>
              <c:f>'Week 2 Stats'!$H$63</c:f>
              <c:numCache>
                <c:formatCode>General</c:formatCode>
                <c:ptCount val="1"/>
                <c:pt idx="0">
                  <c:v>1</c:v>
                </c:pt>
              </c:numCache>
            </c:numRef>
          </c:val>
        </c:ser>
        <c:dLbls>
          <c:showVal val="1"/>
        </c:dLbls>
        <c:axId val="84499456"/>
        <c:axId val="84517632"/>
      </c:barChart>
      <c:catAx>
        <c:axId val="84499456"/>
        <c:scaling>
          <c:orientation val="minMax"/>
        </c:scaling>
        <c:delete val="1"/>
        <c:axPos val="b"/>
        <c:numFmt formatCode="yyyy\/mm\/dd" sourceLinked="1"/>
        <c:tickLblPos val="none"/>
        <c:crossAx val="84517632"/>
        <c:crosses val="autoZero"/>
        <c:auto val="1"/>
        <c:lblAlgn val="ctr"/>
        <c:lblOffset val="100"/>
      </c:catAx>
      <c:valAx>
        <c:axId val="84517632"/>
        <c:scaling>
          <c:orientation val="minMax"/>
        </c:scaling>
        <c:axPos val="l"/>
        <c:majorGridlines/>
        <c:title>
          <c:tx>
            <c:rich>
              <a:bodyPr/>
              <a:lstStyle/>
              <a:p>
                <a:pPr>
                  <a:defRPr lang="en-ZA"/>
                </a:pPr>
                <a:r>
                  <a:rPr lang="af-ZA"/>
                  <a:t>Qty</a:t>
                </a:r>
              </a:p>
            </c:rich>
          </c:tx>
          <c:layout>
            <c:manualLayout>
              <c:xMode val="edge"/>
              <c:yMode val="edge"/>
              <c:x val="1.5794669299111583E-2"/>
              <c:y val="0.57872971679645202"/>
            </c:manualLayout>
          </c:layout>
        </c:title>
        <c:numFmt formatCode="General" sourceLinked="1"/>
        <c:tickLblPos val="nextTo"/>
        <c:txPr>
          <a:bodyPr rot="0" vert="horz"/>
          <a:lstStyle/>
          <a:p>
            <a:pPr>
              <a:defRPr lang="en-ZA"/>
            </a:pPr>
            <a:endParaRPr lang="en-US"/>
          </a:p>
        </c:txPr>
        <c:crossAx val="84499456"/>
        <c:crosses val="autoZero"/>
        <c:crossBetween val="between"/>
      </c:valAx>
    </c:plotArea>
    <c:legend>
      <c:legendPos val="t"/>
      <c:layout>
        <c:manualLayout>
          <c:xMode val="edge"/>
          <c:yMode val="edge"/>
          <c:x val="0.19249753208292275"/>
          <c:y val="0.14502776931889039"/>
          <c:w val="0.6920039486673244"/>
          <c:h val="0.11602224445701227"/>
        </c:manualLayout>
      </c:layout>
      <c:txPr>
        <a:bodyPr/>
        <a:lstStyle/>
        <a:p>
          <a:pPr>
            <a:defRPr lang="en-ZA"/>
          </a:pPr>
          <a:endParaRPr lang="en-US"/>
        </a:p>
      </c:txPr>
    </c:legend>
    <c:plotVisOnly val="1"/>
    <c:dispBlanksAs val="gap"/>
  </c:chart>
  <c:printSettings>
    <c:headerFooter alignWithMargins="0"/>
    <c:pageMargins b="1" l="0.75000000000000155" r="0.7500000000000015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en-ZA" sz="1750" b="1" i="0" u="none" strike="noStrike" baseline="0">
                <a:solidFill>
                  <a:srgbClr val="000000"/>
                </a:solidFill>
                <a:latin typeface="Arial"/>
                <a:ea typeface="Arial"/>
                <a:cs typeface="Arial"/>
              </a:defRPr>
            </a:pPr>
            <a:r>
              <a:rPr lang="af-ZA"/>
              <a:t>Noise Clipper
Employees Not Paraded for week ending </a:t>
            </a:r>
            <a:r>
              <a:rPr lang="af-ZA" baseline="0"/>
              <a:t> 2013</a:t>
            </a:r>
            <a:r>
              <a:rPr lang="af-ZA"/>
              <a:t>-02-03</a:t>
            </a:r>
          </a:p>
        </c:rich>
      </c:tx>
      <c:layout>
        <c:manualLayout>
          <c:xMode val="edge"/>
          <c:yMode val="edge"/>
          <c:x val="0.20098532511022396"/>
          <c:y val="9.655172413793104E-3"/>
        </c:manualLayout>
      </c:layout>
      <c:spPr>
        <a:noFill/>
        <a:ln w="25400">
          <a:noFill/>
        </a:ln>
      </c:spPr>
    </c:title>
    <c:view3D>
      <c:perspective val="0"/>
    </c:view3D>
    <c:plotArea>
      <c:layout>
        <c:manualLayout>
          <c:layoutTarget val="inner"/>
          <c:xMode val="edge"/>
          <c:yMode val="edge"/>
          <c:x val="6.5682479345254346E-3"/>
          <c:y val="0.31720712177554322"/>
          <c:w val="0.98292272086678756"/>
          <c:h val="0.58276453602974854"/>
        </c:manualLayout>
      </c:layout>
      <c:pie3DChart>
        <c:varyColors val="1"/>
        <c:ser>
          <c:idx val="0"/>
          <c:order val="0"/>
          <c:tx>
            <c:strRef>
              <c:f>'Week 2 Stats'!$C$17:$H$17</c:f>
              <c:strCache>
                <c:ptCount val="1"/>
                <c:pt idx="0">
                  <c:v>Leave Discharged Transferred to other Shaft / Area Sick Leave Training Other</c:v>
                </c:pt>
              </c:strCache>
            </c:strRef>
          </c:tx>
          <c:dLbls>
            <c:txPr>
              <a:bodyPr/>
              <a:lstStyle/>
              <a:p>
                <a:pPr>
                  <a:defRPr lang="en-ZA"/>
                </a:pPr>
                <a:endParaRPr lang="en-US"/>
              </a:p>
            </c:txPr>
            <c:showLegendKey val="1"/>
            <c:showPercent val="1"/>
          </c:dLbls>
          <c:cat>
            <c:strRef>
              <c:f>'Week 2 Stats'!$C$17:$H$17</c:f>
              <c:strCache>
                <c:ptCount val="6"/>
                <c:pt idx="0">
                  <c:v>Leave</c:v>
                </c:pt>
                <c:pt idx="1">
                  <c:v>Discharged</c:v>
                </c:pt>
                <c:pt idx="2">
                  <c:v>Transferred to other Shaft / Area</c:v>
                </c:pt>
                <c:pt idx="3">
                  <c:v>Sick Leave</c:v>
                </c:pt>
                <c:pt idx="4">
                  <c:v>Training</c:v>
                </c:pt>
                <c:pt idx="5">
                  <c:v>Other</c:v>
                </c:pt>
              </c:strCache>
            </c:strRef>
          </c:cat>
          <c:val>
            <c:numRef>
              <c:f>'Week 2 Stats'!$C$25:$H$25</c:f>
              <c:numCache>
                <c:formatCode>General</c:formatCode>
                <c:ptCount val="6"/>
                <c:pt idx="0">
                  <c:v>1</c:v>
                </c:pt>
                <c:pt idx="1">
                  <c:v>39</c:v>
                </c:pt>
                <c:pt idx="2">
                  <c:v>17</c:v>
                </c:pt>
                <c:pt idx="3">
                  <c:v>0</c:v>
                </c:pt>
                <c:pt idx="4">
                  <c:v>33</c:v>
                </c:pt>
                <c:pt idx="5">
                  <c:v>13</c:v>
                </c:pt>
              </c:numCache>
            </c:numRef>
          </c:val>
        </c:ser>
        <c:dLbls>
          <c:showLegendKey val="1"/>
          <c:showPercent val="1"/>
        </c:dLbls>
      </c:pie3DChart>
      <c:spPr>
        <a:noFill/>
        <a:ln w="25400">
          <a:noFill/>
        </a:ln>
      </c:spPr>
    </c:plotArea>
    <c:legend>
      <c:legendPos val="t"/>
      <c:layout>
        <c:manualLayout>
          <c:xMode val="edge"/>
          <c:yMode val="edge"/>
          <c:x val="0.10771756978653553"/>
          <c:y val="0.1503447590025537"/>
          <c:w val="0.81941067711363669"/>
          <c:h val="3.736808271090606E-2"/>
        </c:manualLayout>
      </c:layout>
      <c:spPr>
        <a:solidFill>
          <a:srgbClr val="FFFFFF"/>
        </a:solidFill>
        <a:ln w="3175">
          <a:solidFill>
            <a:srgbClr val="000000"/>
          </a:solidFill>
          <a:prstDash val="solid"/>
        </a:ln>
      </c:spPr>
      <c:txPr>
        <a:bodyPr/>
        <a:lstStyle/>
        <a:p>
          <a:pPr rtl="0">
            <a:defRPr lang="en-ZA" sz="1330" b="0" i="0" u="none" strike="noStrike" baseline="0">
              <a:solidFill>
                <a:srgbClr val="000000"/>
              </a:solidFill>
              <a:latin typeface="Arial"/>
              <a:ea typeface="Arial"/>
              <a:cs typeface="Arial"/>
            </a:defRPr>
          </a:pPr>
          <a:endParaRPr lang="en-US"/>
        </a:p>
      </c:txPr>
    </c:legend>
    <c:plotVisOnly val="1"/>
    <c:dispBlanksAs val="zero"/>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lang="en-ZA"/>
            </a:pPr>
            <a:r>
              <a:rPr lang="af-ZA"/>
              <a:t>Noise Clipper
Parading and Fitments for week ending</a:t>
            </a:r>
            <a:r>
              <a:rPr lang="af-ZA" baseline="0"/>
              <a:t> 2013</a:t>
            </a:r>
            <a:r>
              <a:rPr lang="af-ZA"/>
              <a:t>-02-10</a:t>
            </a:r>
          </a:p>
        </c:rich>
      </c:tx>
      <c:layout>
        <c:manualLayout>
          <c:xMode val="edge"/>
          <c:yMode val="edge"/>
          <c:x val="0.22123914451696547"/>
          <c:y val="1.1049723756906087E-2"/>
        </c:manualLayout>
      </c:layout>
    </c:title>
    <c:plotArea>
      <c:layout>
        <c:manualLayout>
          <c:layoutTarget val="inner"/>
          <c:xMode val="edge"/>
          <c:yMode val="edge"/>
          <c:x val="0.19299839732422883"/>
          <c:y val="0.1403573537047707"/>
          <c:w val="0.78209173705794155"/>
          <c:h val="0.68052806407329169"/>
        </c:manualLayout>
      </c:layout>
      <c:barChart>
        <c:barDir val="col"/>
        <c:grouping val="clustered"/>
        <c:ser>
          <c:idx val="0"/>
          <c:order val="0"/>
          <c:tx>
            <c:strRef>
              <c:f>'Week 3 Stats'!$D$4</c:f>
              <c:strCache>
                <c:ptCount val="1"/>
                <c:pt idx="0">
                  <c:v>Quantity Paraded</c:v>
                </c:pt>
              </c:strCache>
            </c:strRef>
          </c:tx>
          <c:dLbls>
            <c:txPr>
              <a:bodyPr/>
              <a:lstStyle/>
              <a:p>
                <a:pPr>
                  <a:defRPr lang="en-ZA"/>
                </a:pPr>
                <a:endParaRPr lang="en-US"/>
              </a:p>
            </c:txPr>
            <c:showVal val="1"/>
          </c:dLbls>
          <c:cat>
            <c:multiLvlStrRef>
              <c:f>'Week 3 Stats'!$A$5:$B$10</c:f>
              <c:multiLvlStrCache>
                <c:ptCount val="6"/>
                <c:lvl>
                  <c:pt idx="0">
                    <c:v>8#</c:v>
                  </c:pt>
                  <c:pt idx="1">
                    <c:v>20#</c:v>
                  </c:pt>
                  <c:pt idx="2">
                    <c:v>2#</c:v>
                  </c:pt>
                  <c:pt idx="3">
                    <c:v>10#</c:v>
                  </c:pt>
                  <c:pt idx="4">
                    <c:v>14#</c:v>
                  </c:pt>
                  <c:pt idx="5">
                    <c:v>11C#</c:v>
                  </c:pt>
                </c:lvl>
                <c:lvl>
                  <c:pt idx="0">
                    <c:v>2013/02/04</c:v>
                  </c:pt>
                  <c:pt idx="1">
                    <c:v>2013/02/05</c:v>
                  </c:pt>
                  <c:pt idx="2">
                    <c:v>2013/02/05</c:v>
                  </c:pt>
                  <c:pt idx="3">
                    <c:v>2013/02/06</c:v>
                  </c:pt>
                  <c:pt idx="4">
                    <c:v>2013/02/07</c:v>
                  </c:pt>
                  <c:pt idx="5">
                    <c:v>2013/02/08</c:v>
                  </c:pt>
                </c:lvl>
              </c:multiLvlStrCache>
            </c:multiLvlStrRef>
          </c:cat>
          <c:val>
            <c:numRef>
              <c:f>'Week 3 Stats'!$D$5:$D$10</c:f>
              <c:numCache>
                <c:formatCode>General</c:formatCode>
                <c:ptCount val="6"/>
                <c:pt idx="0">
                  <c:v>16</c:v>
                </c:pt>
                <c:pt idx="1">
                  <c:v>61</c:v>
                </c:pt>
                <c:pt idx="2">
                  <c:v>7</c:v>
                </c:pt>
                <c:pt idx="3">
                  <c:v>19</c:v>
                </c:pt>
                <c:pt idx="4">
                  <c:v>49</c:v>
                </c:pt>
                <c:pt idx="5">
                  <c:v>42</c:v>
                </c:pt>
              </c:numCache>
            </c:numRef>
          </c:val>
        </c:ser>
        <c:ser>
          <c:idx val="2"/>
          <c:order val="1"/>
          <c:tx>
            <c:strRef>
              <c:f>'Week 3 Stats'!$E$4</c:f>
              <c:strCache>
                <c:ptCount val="1"/>
                <c:pt idx="0">
                  <c:v>Quantity Fitted at Shaft/Area</c:v>
                </c:pt>
              </c:strCache>
            </c:strRef>
          </c:tx>
          <c:dLbls>
            <c:txPr>
              <a:bodyPr/>
              <a:lstStyle/>
              <a:p>
                <a:pPr>
                  <a:defRPr lang="en-ZA"/>
                </a:pPr>
                <a:endParaRPr lang="en-US"/>
              </a:p>
            </c:txPr>
            <c:showVal val="1"/>
          </c:dLbls>
          <c:cat>
            <c:multiLvlStrRef>
              <c:f>'Week 3 Stats'!$A$5:$B$10</c:f>
              <c:multiLvlStrCache>
                <c:ptCount val="6"/>
                <c:lvl>
                  <c:pt idx="0">
                    <c:v>8#</c:v>
                  </c:pt>
                  <c:pt idx="1">
                    <c:v>20#</c:v>
                  </c:pt>
                  <c:pt idx="2">
                    <c:v>2#</c:v>
                  </c:pt>
                  <c:pt idx="3">
                    <c:v>10#</c:v>
                  </c:pt>
                  <c:pt idx="4">
                    <c:v>14#</c:v>
                  </c:pt>
                  <c:pt idx="5">
                    <c:v>11C#</c:v>
                  </c:pt>
                </c:lvl>
                <c:lvl>
                  <c:pt idx="0">
                    <c:v>2013/02/04</c:v>
                  </c:pt>
                  <c:pt idx="1">
                    <c:v>2013/02/05</c:v>
                  </c:pt>
                  <c:pt idx="2">
                    <c:v>2013/02/05</c:v>
                  </c:pt>
                  <c:pt idx="3">
                    <c:v>2013/02/06</c:v>
                  </c:pt>
                  <c:pt idx="4">
                    <c:v>2013/02/07</c:v>
                  </c:pt>
                  <c:pt idx="5">
                    <c:v>2013/02/08</c:v>
                  </c:pt>
                </c:lvl>
              </c:multiLvlStrCache>
            </c:multiLvlStrRef>
          </c:cat>
          <c:val>
            <c:numRef>
              <c:f>'Week 3 Stats'!$E$5:$E$10</c:f>
              <c:numCache>
                <c:formatCode>General</c:formatCode>
                <c:ptCount val="6"/>
                <c:pt idx="0">
                  <c:v>10</c:v>
                </c:pt>
                <c:pt idx="1">
                  <c:v>17</c:v>
                </c:pt>
                <c:pt idx="2">
                  <c:v>1</c:v>
                </c:pt>
                <c:pt idx="3">
                  <c:v>7</c:v>
                </c:pt>
                <c:pt idx="4">
                  <c:v>15</c:v>
                </c:pt>
                <c:pt idx="5">
                  <c:v>25</c:v>
                </c:pt>
              </c:numCache>
            </c:numRef>
          </c:val>
        </c:ser>
        <c:ser>
          <c:idx val="3"/>
          <c:order val="2"/>
          <c:tx>
            <c:strRef>
              <c:f>'Week 3 Stats'!$G$4</c:f>
              <c:strCache>
                <c:ptCount val="1"/>
                <c:pt idx="0">
                  <c:v>Quantity Fitted at NC Office</c:v>
                </c:pt>
              </c:strCache>
            </c:strRef>
          </c:tx>
          <c:dLbls>
            <c:txPr>
              <a:bodyPr/>
              <a:lstStyle/>
              <a:p>
                <a:pPr>
                  <a:defRPr lang="en-ZA"/>
                </a:pPr>
                <a:endParaRPr lang="en-US"/>
              </a:p>
            </c:txPr>
            <c:showVal val="1"/>
          </c:dLbls>
          <c:cat>
            <c:multiLvlStrRef>
              <c:f>'Week 3 Stats'!$A$5:$B$10</c:f>
              <c:multiLvlStrCache>
                <c:ptCount val="6"/>
                <c:lvl>
                  <c:pt idx="0">
                    <c:v>8#</c:v>
                  </c:pt>
                  <c:pt idx="1">
                    <c:v>20#</c:v>
                  </c:pt>
                  <c:pt idx="2">
                    <c:v>2#</c:v>
                  </c:pt>
                  <c:pt idx="3">
                    <c:v>10#</c:v>
                  </c:pt>
                  <c:pt idx="4">
                    <c:v>14#</c:v>
                  </c:pt>
                  <c:pt idx="5">
                    <c:v>11C#</c:v>
                  </c:pt>
                </c:lvl>
                <c:lvl>
                  <c:pt idx="0">
                    <c:v>2013/02/04</c:v>
                  </c:pt>
                  <c:pt idx="1">
                    <c:v>2013/02/05</c:v>
                  </c:pt>
                  <c:pt idx="2">
                    <c:v>2013/02/05</c:v>
                  </c:pt>
                  <c:pt idx="3">
                    <c:v>2013/02/06</c:v>
                  </c:pt>
                  <c:pt idx="4">
                    <c:v>2013/02/07</c:v>
                  </c:pt>
                  <c:pt idx="5">
                    <c:v>2013/02/08</c:v>
                  </c:pt>
                </c:lvl>
              </c:multiLvlStrCache>
            </c:multiLvlStrRef>
          </c:cat>
          <c:val>
            <c:numRef>
              <c:f>'Week 3 Stats'!$G$5:$G$10</c:f>
              <c:numCache>
                <c:formatCode>General</c:formatCode>
                <c:ptCount val="6"/>
                <c:pt idx="0">
                  <c:v>7</c:v>
                </c:pt>
                <c:pt idx="1">
                  <c:v>11</c:v>
                </c:pt>
                <c:pt idx="3">
                  <c:v>5</c:v>
                </c:pt>
                <c:pt idx="4">
                  <c:v>12</c:v>
                </c:pt>
                <c:pt idx="5">
                  <c:v>12</c:v>
                </c:pt>
              </c:numCache>
            </c:numRef>
          </c:val>
        </c:ser>
        <c:dLbls>
          <c:showVal val="1"/>
        </c:dLbls>
        <c:axId val="84884480"/>
        <c:axId val="84890368"/>
      </c:barChart>
      <c:catAx>
        <c:axId val="84884480"/>
        <c:scaling>
          <c:orientation val="minMax"/>
        </c:scaling>
        <c:axPos val="b"/>
        <c:numFmt formatCode="yyyy\/mm\/dd" sourceLinked="1"/>
        <c:tickLblPos val="nextTo"/>
        <c:txPr>
          <a:bodyPr rot="0" vert="horz"/>
          <a:lstStyle/>
          <a:p>
            <a:pPr>
              <a:defRPr lang="en-ZA"/>
            </a:pPr>
            <a:endParaRPr lang="en-US"/>
          </a:p>
        </c:txPr>
        <c:crossAx val="84890368"/>
        <c:crosses val="autoZero"/>
        <c:auto val="1"/>
        <c:lblAlgn val="ctr"/>
        <c:lblOffset val="100"/>
        <c:tickLblSkip val="1"/>
        <c:tickMarkSkip val="1"/>
      </c:catAx>
      <c:valAx>
        <c:axId val="84890368"/>
        <c:scaling>
          <c:orientation val="minMax"/>
        </c:scaling>
        <c:axPos val="l"/>
        <c:majorGridlines/>
        <c:title>
          <c:tx>
            <c:rich>
              <a:bodyPr/>
              <a:lstStyle/>
              <a:p>
                <a:pPr>
                  <a:defRPr lang="en-ZA"/>
                </a:pPr>
                <a:r>
                  <a:rPr lang="af-ZA"/>
                  <a:t>Qty</a:t>
                </a:r>
              </a:p>
            </c:rich>
          </c:tx>
          <c:layout>
            <c:manualLayout>
              <c:xMode val="edge"/>
              <c:yMode val="edge"/>
              <c:x val="5.8997050147492781E-3"/>
              <c:y val="0.39088426791955161"/>
            </c:manualLayout>
          </c:layout>
        </c:title>
        <c:numFmt formatCode="General" sourceLinked="1"/>
        <c:tickLblPos val="nextTo"/>
        <c:txPr>
          <a:bodyPr rot="0" vert="horz"/>
          <a:lstStyle/>
          <a:p>
            <a:pPr>
              <a:defRPr lang="en-ZA"/>
            </a:pPr>
            <a:endParaRPr lang="en-US"/>
          </a:p>
        </c:txPr>
        <c:crossAx val="84884480"/>
        <c:crosses val="autoZero"/>
        <c:crossBetween val="between"/>
      </c:valAx>
      <c:dTable>
        <c:showHorzBorder val="1"/>
        <c:showVertBorder val="1"/>
        <c:showOutline val="1"/>
        <c:showKeys val="1"/>
        <c:txPr>
          <a:bodyPr/>
          <a:lstStyle/>
          <a:p>
            <a:pPr>
              <a:defRPr lang="en-ZA"/>
            </a:pPr>
            <a:endParaRPr lang="en-US"/>
          </a:p>
        </c:txPr>
      </c:dTable>
    </c:plotArea>
    <c:plotVisOnly val="1"/>
    <c:dispBlanksAs val="gap"/>
  </c:chart>
  <c:printSettings>
    <c:headerFooter alignWithMargins="0"/>
    <c:pageMargins b="1" l="0.75000000000000155" r="0.75000000000000155" t="1" header="0.5" footer="0.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206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206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206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43</xdr:row>
      <xdr:rowOff>38100</xdr:rowOff>
    </xdr:from>
    <xdr:to>
      <xdr:col>15</xdr:col>
      <xdr:colOff>561975</xdr:colOff>
      <xdr:row>85</xdr:row>
      <xdr:rowOff>142875</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1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43</xdr:row>
      <xdr:rowOff>38100</xdr:rowOff>
    </xdr:from>
    <xdr:to>
      <xdr:col>15</xdr:col>
      <xdr:colOff>561975</xdr:colOff>
      <xdr:row>85</xdr:row>
      <xdr:rowOff>142875</xdr:rowOff>
    </xdr:to>
    <xdr:graphicFrame macro="">
      <xdr:nvGraphicFramePr>
        <xdr:cNvPr id="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1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1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43</xdr:row>
      <xdr:rowOff>38100</xdr:rowOff>
    </xdr:from>
    <xdr:to>
      <xdr:col>15</xdr:col>
      <xdr:colOff>561975</xdr:colOff>
      <xdr:row>85</xdr:row>
      <xdr:rowOff>142875</xdr:rowOff>
    </xdr:to>
    <xdr:graphicFrame macro="">
      <xdr:nvGraphicFramePr>
        <xdr:cNvPr id="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1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1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43</xdr:row>
      <xdr:rowOff>38100</xdr:rowOff>
    </xdr:from>
    <xdr:to>
      <xdr:col>16</xdr:col>
      <xdr:colOff>28575</xdr:colOff>
      <xdr:row>85</xdr:row>
      <xdr:rowOff>142875</xdr:rowOff>
    </xdr:to>
    <xdr:graphicFrame macro="">
      <xdr:nvGraphicFramePr>
        <xdr:cNvPr id="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43</xdr:row>
      <xdr:rowOff>38100</xdr:rowOff>
    </xdr:from>
    <xdr:to>
      <xdr:col>15</xdr:col>
      <xdr:colOff>561975</xdr:colOff>
      <xdr:row>85</xdr:row>
      <xdr:rowOff>142875</xdr:rowOff>
    </xdr:to>
    <xdr:graphicFrame macro="">
      <xdr:nvGraphicFramePr>
        <xdr:cNvPr id="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571500</xdr:colOff>
      <xdr:row>42</xdr:row>
      <xdr:rowOff>133350</xdr:rowOff>
    </xdr:to>
    <xdr:graphicFrame macro="">
      <xdr:nvGraphicFramePr>
        <xdr:cNvPr id="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86</xdr:row>
      <xdr:rowOff>19050</xdr:rowOff>
    </xdr:from>
    <xdr:to>
      <xdr:col>15</xdr:col>
      <xdr:colOff>561975</xdr:colOff>
      <xdr:row>128</xdr:row>
      <xdr:rowOff>133350</xdr:rowOff>
    </xdr:to>
    <xdr:graphicFrame macro="">
      <xdr:nvGraphicFramePr>
        <xdr:cNvPr id="1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129</xdr:row>
      <xdr:rowOff>28575</xdr:rowOff>
    </xdr:from>
    <xdr:to>
      <xdr:col>15</xdr:col>
      <xdr:colOff>552450</xdr:colOff>
      <xdr:row>171</xdr:row>
      <xdr:rowOff>123825</xdr:rowOff>
    </xdr:to>
    <xdr:graphicFrame macro="">
      <xdr:nvGraphicFramePr>
        <xdr:cNvPr id="1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43</xdr:row>
      <xdr:rowOff>38100</xdr:rowOff>
    </xdr:from>
    <xdr:to>
      <xdr:col>15</xdr:col>
      <xdr:colOff>561975</xdr:colOff>
      <xdr:row>85</xdr:row>
      <xdr:rowOff>142875</xdr:rowOff>
    </xdr:to>
    <xdr:graphicFrame macro="">
      <xdr:nvGraphicFramePr>
        <xdr:cNvPr id="1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4148318" refreshedDate="41348.267481365743" createdVersion="3" refreshedVersion="3" minRefreshableVersion="3" recordCount="42">
  <cacheSource type="worksheet">
    <worksheetSource ref="A1:F43" sheet="Sheet1"/>
  </cacheSource>
  <cacheFields count="4">
    <cacheField name="Shaft / Area" numFmtId="0">
      <sharedItems count="17">
        <s v="2#"/>
        <s v="E&amp;F"/>
        <s v="12#"/>
        <s v="20#"/>
        <s v="4#"/>
        <s v="14#"/>
        <s v="11C#"/>
        <s v="7#"/>
        <s v="17#"/>
        <s v="16#"/>
        <s v="1#"/>
        <s v="9#"/>
        <s v="10#"/>
        <s v="11#"/>
        <s v="6#"/>
        <s v="7A#"/>
        <s v="Minpro"/>
      </sharedItems>
    </cacheField>
    <cacheField name="Quantity Collected from Shaft" numFmtId="0">
      <sharedItems containsSemiMixedTypes="0" containsString="0" containsNumber="1" containsInteger="1" minValue="0" maxValue="101"/>
    </cacheField>
    <cacheField name="Quantity employees going on leave and did not hand in their Noise Clippers" numFmtId="0">
      <sharedItems containsSemiMixedTypes="0" containsString="0" containsNumber="1" containsInteger="1" minValue="0" maxValue="12"/>
    </cacheField>
    <cacheField name="Quantity Fitted at Office" numFmtId="0">
      <sharedItems containsString="0" containsBlank="1" containsNumber="1" containsInteger="1" minValue="0" maxValue="160" count="23">
        <n v="105"/>
        <n v="0"/>
        <n v="83"/>
        <n v="74"/>
        <n v="132"/>
        <n v="82"/>
        <n v="80"/>
        <m/>
        <n v="66"/>
        <n v="42"/>
        <n v="48"/>
        <n v="43"/>
        <n v="160"/>
        <n v="117"/>
        <n v="113"/>
        <n v="159"/>
        <n v="87"/>
        <n v="81"/>
        <n v="59"/>
        <n v="38"/>
        <n v="104"/>
        <n v="110"/>
        <n v="92"/>
      </sharedItems>
    </cacheField>
  </cacheFields>
</pivotCacheDefinition>
</file>

<file path=xl/pivotCache/pivotCacheRecords1.xml><?xml version="1.0" encoding="utf-8"?>
<pivotCacheRecords xmlns="http://schemas.openxmlformats.org/spreadsheetml/2006/main" xmlns:r="http://schemas.openxmlformats.org/officeDocument/2006/relationships" count="42">
  <r>
    <x v="0"/>
    <n v="2"/>
    <n v="0"/>
    <x v="0"/>
  </r>
  <r>
    <x v="1"/>
    <n v="2"/>
    <n v="3"/>
    <x v="1"/>
  </r>
  <r>
    <x v="2"/>
    <n v="12"/>
    <n v="4"/>
    <x v="2"/>
  </r>
  <r>
    <x v="3"/>
    <n v="3"/>
    <n v="3"/>
    <x v="1"/>
  </r>
  <r>
    <x v="4"/>
    <n v="32"/>
    <n v="6"/>
    <x v="3"/>
  </r>
  <r>
    <x v="5"/>
    <n v="75"/>
    <n v="8"/>
    <x v="1"/>
  </r>
  <r>
    <x v="6"/>
    <n v="19"/>
    <n v="6"/>
    <x v="4"/>
  </r>
  <r>
    <x v="7"/>
    <n v="1"/>
    <n v="0"/>
    <x v="1"/>
  </r>
  <r>
    <x v="8"/>
    <n v="1"/>
    <n v="0"/>
    <x v="1"/>
  </r>
  <r>
    <x v="9"/>
    <n v="2"/>
    <n v="3"/>
    <x v="1"/>
  </r>
  <r>
    <x v="10"/>
    <n v="98"/>
    <n v="12"/>
    <x v="5"/>
  </r>
  <r>
    <x v="11"/>
    <n v="24"/>
    <n v="4"/>
    <x v="1"/>
  </r>
  <r>
    <x v="12"/>
    <n v="65"/>
    <n v="5"/>
    <x v="1"/>
  </r>
  <r>
    <x v="2"/>
    <n v="5"/>
    <n v="4"/>
    <x v="6"/>
  </r>
  <r>
    <x v="3"/>
    <n v="8"/>
    <n v="3"/>
    <x v="7"/>
  </r>
  <r>
    <x v="13"/>
    <n v="57"/>
    <n v="9"/>
    <x v="8"/>
  </r>
  <r>
    <x v="6"/>
    <n v="6"/>
    <n v="3"/>
    <x v="1"/>
  </r>
  <r>
    <x v="4"/>
    <n v="3"/>
    <n v="3"/>
    <x v="1"/>
  </r>
  <r>
    <x v="14"/>
    <n v="13"/>
    <n v="5"/>
    <x v="9"/>
  </r>
  <r>
    <x v="1"/>
    <n v="14"/>
    <n v="2"/>
    <x v="1"/>
  </r>
  <r>
    <x v="15"/>
    <n v="38"/>
    <n v="5"/>
    <x v="10"/>
  </r>
  <r>
    <x v="2"/>
    <n v="75"/>
    <n v="9"/>
    <x v="1"/>
  </r>
  <r>
    <x v="0"/>
    <n v="1"/>
    <n v="0"/>
    <x v="1"/>
  </r>
  <r>
    <x v="16"/>
    <n v="28"/>
    <n v="7"/>
    <x v="11"/>
  </r>
  <r>
    <x v="10"/>
    <n v="8"/>
    <n v="6"/>
    <x v="12"/>
  </r>
  <r>
    <x v="0"/>
    <n v="3"/>
    <n v="1"/>
    <x v="13"/>
  </r>
  <r>
    <x v="4"/>
    <n v="11"/>
    <n v="6"/>
    <x v="14"/>
  </r>
  <r>
    <x v="7"/>
    <n v="25"/>
    <n v="4"/>
    <x v="15"/>
  </r>
  <r>
    <x v="12"/>
    <n v="24"/>
    <n v="4"/>
    <x v="16"/>
  </r>
  <r>
    <x v="1"/>
    <n v="4"/>
    <n v="1"/>
    <x v="1"/>
  </r>
  <r>
    <x v="7"/>
    <n v="13"/>
    <n v="5"/>
    <x v="17"/>
  </r>
  <r>
    <x v="13"/>
    <n v="4"/>
    <n v="2"/>
    <x v="1"/>
  </r>
  <r>
    <x v="6"/>
    <n v="7"/>
    <n v="3"/>
    <x v="1"/>
  </r>
  <r>
    <x v="10"/>
    <n v="11"/>
    <n v="6"/>
    <x v="18"/>
  </r>
  <r>
    <x v="11"/>
    <n v="11"/>
    <n v="4"/>
    <x v="1"/>
  </r>
  <r>
    <x v="5"/>
    <n v="9"/>
    <n v="6"/>
    <x v="9"/>
  </r>
  <r>
    <x v="2"/>
    <n v="5"/>
    <n v="0"/>
    <x v="19"/>
  </r>
  <r>
    <x v="12"/>
    <n v="101"/>
    <n v="12"/>
    <x v="20"/>
  </r>
  <r>
    <x v="11"/>
    <n v="17"/>
    <n v="6"/>
    <x v="1"/>
  </r>
  <r>
    <x v="9"/>
    <n v="1"/>
    <n v="0"/>
    <x v="21"/>
  </r>
  <r>
    <x v="8"/>
    <n v="0"/>
    <n v="0"/>
    <x v="22"/>
  </r>
  <r>
    <x v="16"/>
    <n v="23"/>
    <n v="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M3:P22" firstHeaderRow="1" firstDataRow="2" firstDataCol="1"/>
  <pivotFields count="4">
    <pivotField axis="axisRow" showAll="0">
      <items count="18">
        <item x="10"/>
        <item x="12"/>
        <item x="13"/>
        <item x="6"/>
        <item x="2"/>
        <item x="5"/>
        <item x="9"/>
        <item x="8"/>
        <item x="0"/>
        <item x="3"/>
        <item x="4"/>
        <item x="14"/>
        <item x="7"/>
        <item x="15"/>
        <item x="11"/>
        <item x="1"/>
        <item x="16"/>
        <item t="default"/>
      </items>
    </pivotField>
    <pivotField dataField="1" showAll="0"/>
    <pivotField dataField="1" showAll="0"/>
    <pivotField dataField="1" showAll="0">
      <items count="24">
        <item x="1"/>
        <item x="19"/>
        <item x="9"/>
        <item x="11"/>
        <item x="10"/>
        <item x="18"/>
        <item x="8"/>
        <item x="3"/>
        <item x="6"/>
        <item x="17"/>
        <item x="5"/>
        <item x="2"/>
        <item x="16"/>
        <item x="22"/>
        <item x="20"/>
        <item x="0"/>
        <item x="21"/>
        <item x="14"/>
        <item x="13"/>
        <item x="4"/>
        <item x="15"/>
        <item x="12"/>
        <item x="7"/>
        <item t="default"/>
      </items>
    </pivotField>
  </pivotFields>
  <rowFields count="1">
    <field x="0"/>
  </rowFields>
  <rowItems count="18">
    <i>
      <x/>
    </i>
    <i>
      <x v="1"/>
    </i>
    <i>
      <x v="2"/>
    </i>
    <i>
      <x v="3"/>
    </i>
    <i>
      <x v="4"/>
    </i>
    <i>
      <x v="5"/>
    </i>
    <i>
      <x v="6"/>
    </i>
    <i>
      <x v="7"/>
    </i>
    <i>
      <x v="8"/>
    </i>
    <i>
      <x v="9"/>
    </i>
    <i>
      <x v="10"/>
    </i>
    <i>
      <x v="11"/>
    </i>
    <i>
      <x v="12"/>
    </i>
    <i>
      <x v="13"/>
    </i>
    <i>
      <x v="14"/>
    </i>
    <i>
      <x v="15"/>
    </i>
    <i>
      <x v="16"/>
    </i>
    <i t="grand">
      <x/>
    </i>
  </rowItems>
  <colFields count="1">
    <field x="-2"/>
  </colFields>
  <colItems count="3">
    <i>
      <x/>
    </i>
    <i i="1">
      <x v="1"/>
    </i>
    <i i="2">
      <x v="2"/>
    </i>
  </colItems>
  <dataFields count="3">
    <dataField name="Sum of Quantity Collected from Shaft" fld="1" baseField="0" baseItem="0"/>
    <dataField name="Sum of Quantity employees going on leave and did not hand in their Noise Clippers" fld="2" baseField="0" baseItem="0"/>
    <dataField name="Count of Quantity Fitted at Office" fld="3" subtotal="count" baseField="0" baseItem="0"/>
  </dataFields>
  <pivotTableStyleInfo name="PivotStyleLight16" showRowHeaders="1" showColHeaders="1" showRowStripes="0" showColStripes="0" showLastColumn="1"/>
</pivotTableDefinition>
</file>

<file path=xl/tables/table1.xml><?xml version="1.0" encoding="utf-8"?>
<table xmlns="http://schemas.openxmlformats.org/spreadsheetml/2006/main" id="3" name="Table3" displayName="Table3" ref="A4:H14" headerRowDxfId="842" dataDxfId="840" totalsRowDxfId="838" headerRowBorderDxfId="841" tableBorderDxfId="839" totalsRowBorderDxfId="837">
  <autoFilter ref="A4:H14"/>
  <tableColumns count="8">
    <tableColumn id="1" name="Date" totalsRowLabel="Week 1 Total" dataDxfId="836" totalsRowDxfId="835">
      <calculatedColumnFormula>TODAY()+1</calculatedColumnFormula>
    </tableColumn>
    <tableColumn id="2" name="Shaft / Area" dataDxfId="834" totalsRowDxfId="833"/>
    <tableColumn id="3" name="Quantity to Parade" totalsRowFunction="sum" dataDxfId="832" totalsRowDxfId="831"/>
    <tableColumn id="4" name="Quantity Paraded" totalsRowFunction="sum" dataDxfId="830" totalsRowDxfId="829"/>
    <tableColumn id="5" name="Quantity Fitted at Shaft/Area" totalsRowFunction="sum" dataDxfId="828" totalsRowDxfId="827"/>
    <tableColumn id="6" name="Pecentage Fitted at Shaft/Area" totalsRowFunction="average" dataDxfId="826" totalsRowDxfId="825">
      <calculatedColumnFormula>Table3[[#This Row],[Quantity Fitted at Shaft/Area]]/Table3[[#This Row],[Quantity Paraded]]</calculatedColumnFormula>
    </tableColumn>
    <tableColumn id="7" name="Quantity Fitted at NC Office" totalsRowFunction="sum" dataDxfId="824" totalsRowDxfId="823"/>
    <tableColumn id="8" name="Total Fitted for the Day" totalsRowFunction="sum" dataDxfId="822" totalsRowDxfId="821">
      <calculatedColumnFormula>Table3[[#This Row],[Quantity Fitted at Shaft/Area]]+Table3[[#This Row],[Quantity Fitted at NC Office]]</calculatedColumnFormula>
    </tableColumn>
  </tableColumns>
  <tableStyleInfo name="TableStyleMedium9" showFirstColumn="0" showLastColumn="1" showRowStripes="1" showColumnStripes="0"/>
</table>
</file>

<file path=xl/tables/table10.xml><?xml version="1.0" encoding="utf-8"?>
<table xmlns="http://schemas.openxmlformats.org/spreadsheetml/2006/main" id="131" name="Table11132" displayName="Table11132" ref="A57:J63" totalsRowShown="0" headerRowDxfId="585" totalsRowDxfId="582" headerRowBorderDxfId="584" tableBorderDxfId="583" totalsRowBorderDxfId="581">
  <autoFilter ref="A57:J63"/>
  <tableColumns count="10">
    <tableColumn id="1" name="Date" dataDxfId="580" totalsRowDxfId="579">
      <calculatedColumnFormula>A5</calculatedColumnFormula>
    </tableColumn>
    <tableColumn id="2" name="Contractors" dataDxfId="578" totalsRowDxfId="577"/>
    <tableColumn id="3" name="Percentage Contactors of Total Impressions" dataDxfId="576" totalsRowDxfId="575">
      <calculatedColumnFormula>Table11132[[#This Row],[Contractors]]/U48</calculatedColumnFormula>
    </tableColumn>
    <tableColumn id="4" name="New Recruits" dataDxfId="574" totalsRowDxfId="573"/>
    <tableColumn id="5" name="Percentage New Recruits of Total Impressions" dataDxfId="572" totalsRowDxfId="571">
      <calculatedColumnFormula>Table11132[[#This Row],[New Recruits]]/U48</calculatedColumnFormula>
    </tableColumn>
    <tableColumn id="6" name="2 Year Claims" dataDxfId="570" totalsRowDxfId="569"/>
    <tableColumn id="7" name="Percentage 2 Year Claims of Total Impressions" dataDxfId="568" totalsRowDxfId="567">
      <calculatedColumnFormula>Table11132[[#This Row],[2 Year Claims]]/U48</calculatedColumnFormula>
    </tableColumn>
    <tableColumn id="8" name="5 Year Claim" dataDxfId="566" totalsRowDxfId="565"/>
    <tableColumn id="9" name="Percentage of 5 Year Claims of Total Impressions" dataDxfId="564" totalsRowDxfId="563">
      <calculatedColumnFormula>Table11132[[#This Row],[5 Year Claim]]/U48</calculatedColumnFormula>
    </tableColumn>
    <tableColumn id="10" name="Ear Health Problems" dataDxfId="562" totalsRowDxfId="561"/>
  </tableColumns>
  <tableStyleInfo name="TableStyleMedium9" showFirstColumn="0" showLastColumn="0" showRowStripes="1" showColumnStripes="0"/>
</table>
</file>

<file path=xl/tables/table11.xml><?xml version="1.0" encoding="utf-8"?>
<table xmlns="http://schemas.openxmlformats.org/spreadsheetml/2006/main" id="132" name="Table3133" displayName="Table3133" ref="A4:H11" headerRowDxfId="554" dataDxfId="552" totalsRowDxfId="550" headerRowBorderDxfId="553" tableBorderDxfId="551" totalsRowBorderDxfId="549">
  <autoFilter ref="A4:H11"/>
  <tableColumns count="8">
    <tableColumn id="1" name="Date" totalsRowLabel="Week 1 Total" dataDxfId="548" totalsRowDxfId="547">
      <calculatedColumnFormula>TODAY()+1</calculatedColumnFormula>
    </tableColumn>
    <tableColumn id="2" name="Shaft / Area" dataDxfId="546" totalsRowDxfId="545"/>
    <tableColumn id="3" name="Quantity to Parade" totalsRowFunction="sum" dataDxfId="544" totalsRowDxfId="543"/>
    <tableColumn id="4" name="Quantity Paraded" totalsRowFunction="sum" dataDxfId="542" totalsRowDxfId="541"/>
    <tableColumn id="5" name="Quantity Fitted at Shaft/Area" totalsRowFunction="sum" dataDxfId="540" totalsRowDxfId="539"/>
    <tableColumn id="6" name="Pecentage Fitted at Shaft/Area" totalsRowFunction="average" dataDxfId="538" totalsRowDxfId="537">
      <calculatedColumnFormula>Table3133[[#This Row],[Quantity Fitted at Shaft/Area]]/Table3133[[#This Row],[Quantity Paraded]]</calculatedColumnFormula>
    </tableColumn>
    <tableColumn id="7" name="Quantity Fitted at NC Office" totalsRowFunction="sum" dataDxfId="536" totalsRowDxfId="535"/>
    <tableColumn id="8" name="Total Fitted for the Day" totalsRowFunction="sum" dataDxfId="534" totalsRowDxfId="533">
      <calculatedColumnFormula>Table3133[[#This Row],[Quantity Fitted at Shaft/Area]]+Table3133[[#This Row],[Quantity Fitted at NC Office]]</calculatedColumnFormula>
    </tableColumn>
  </tableColumns>
  <tableStyleInfo name="TableStyleMedium9" showFirstColumn="0" showLastColumn="1" showRowStripes="1" showColumnStripes="0"/>
</table>
</file>

<file path=xl/tables/table12.xml><?xml version="1.0" encoding="utf-8"?>
<table xmlns="http://schemas.openxmlformats.org/spreadsheetml/2006/main" id="133" name="Table7134" displayName="Table7134" ref="A16:I23" headerRowDxfId="532" dataDxfId="530" totalsRowDxfId="528" headerRowBorderDxfId="531" tableBorderDxfId="529" totalsRowBorderDxfId="527">
  <autoFilter ref="A16:I23"/>
  <tableColumns count="9">
    <tableColumn id="1" name="Date" totalsRowFunction="custom" dataDxfId="526" totalsRowDxfId="525">
      <calculatedColumnFormula>A5</calculatedColumnFormula>
      <totalsRowFormula>Table3[[#Totals],[Date]]</totalsRowFormula>
    </tableColumn>
    <tableColumn id="2" name="Shaft / Area" dataDxfId="524" totalsRowDxfId="523"/>
    <tableColumn id="3" name="Leave" totalsRowFunction="sum" dataDxfId="522" totalsRowDxfId="521"/>
    <tableColumn id="4" name="Discharged" totalsRowFunction="sum" dataDxfId="520" totalsRowDxfId="519"/>
    <tableColumn id="5" name="Transferred to other Shaft / Area" totalsRowFunction="sum" dataDxfId="518" totalsRowDxfId="517"/>
    <tableColumn id="6" name="Sick Leave" totalsRowFunction="sum" dataDxfId="516" totalsRowDxfId="515"/>
    <tableColumn id="7" name="Training" totalsRowFunction="sum" dataDxfId="514" totalsRowDxfId="513"/>
    <tableColumn id="8" name="Other" totalsRowFunction="sum" dataDxfId="512" totalsRowDxfId="511"/>
    <tableColumn id="9" name="Total" totalsRowFunction="sum" dataDxfId="510" totalsRowDxfId="509">
      <calculatedColumnFormula>Table7134[[#This Row],[Leave]]+Table7134[[#This Row],[Discharged]]+Table7134[[#This Row],[Transferred to other Shaft / Area]]+Table7134[[#This Row],[Sick Leave]]+Table7134[[#This Row],[Training]]+Table7134[[#This Row],[Other]]</calculatedColumnFormula>
    </tableColumn>
  </tableColumns>
  <tableStyleInfo name="TableStyleMedium9" showFirstColumn="0" showLastColumn="1" showRowStripes="1" showColumnStripes="0"/>
</table>
</file>

<file path=xl/tables/table13.xml><?xml version="1.0" encoding="utf-8"?>
<table xmlns="http://schemas.openxmlformats.org/spreadsheetml/2006/main" id="134" name="Table9135" displayName="Table9135" ref="A27:E34" headerRowDxfId="508" dataDxfId="506" totalsRowDxfId="504" headerRowBorderDxfId="507" tableBorderDxfId="505" totalsRowBorderDxfId="503">
  <autoFilter ref="A27:E34"/>
  <tableColumns count="5">
    <tableColumn id="1" name="Date" totalsRowFunction="custom" dataDxfId="502" totalsRowDxfId="501">
      <totalsRowFormula>Table3[[#Totals],[Date]]</totalsRowFormula>
    </tableColumn>
    <tableColumn id="2" name="Shaft / Area" dataDxfId="500" totalsRowDxfId="499"/>
    <tableColumn id="3" name="Quantity Collected from Shaft" totalsRowFunction="sum" dataDxfId="498" totalsRowDxfId="497"/>
    <tableColumn id="4" name="Quantity employees going on leave and did not hand in their Noise Clippers" totalsRowFunction="sum" dataDxfId="496" totalsRowDxfId="495"/>
    <tableColumn id="5" name="Quantity Fitted at Office" totalsRowFunction="count" dataDxfId="494" totalsRowDxfId="493"/>
  </tableColumns>
  <tableStyleInfo name="TableStyleMedium9" showFirstColumn="0" showLastColumn="0" showRowStripes="1" showColumnStripes="0"/>
</table>
</file>

<file path=xl/tables/table14.xml><?xml version="1.0" encoding="utf-8"?>
<table xmlns="http://schemas.openxmlformats.org/spreadsheetml/2006/main" id="135" name="Table10136" displayName="Table10136" ref="A39:U45" headerRowDxfId="492" dataDxfId="490" totalsRowDxfId="488" headerRowBorderDxfId="491" tableBorderDxfId="489" totalsRowBorderDxfId="487">
  <autoFilter ref="A39:U45"/>
  <tableColumns count="21">
    <tableColumn id="1" name="Date" totalsRowFunction="custom" dataDxfId="486" totalsRowDxfId="485">
      <calculatedColumnFormula>A5</calculatedColumnFormula>
      <totalsRowFormula>A11</totalsRowFormula>
    </tableColumn>
    <tableColumn id="2" name="1#" totalsRowFunction="sum" dataDxfId="484" totalsRowDxfId="483"/>
    <tableColumn id="3" name="2#" totalsRowFunction="sum" dataDxfId="482" totalsRowDxfId="481"/>
    <tableColumn id="4" name="4#" totalsRowFunction="sum" dataDxfId="480" totalsRowDxfId="479"/>
    <tableColumn id="5" name="5#" totalsRowFunction="sum" dataDxfId="478" totalsRowDxfId="477"/>
    <tableColumn id="6" name="6#" totalsRowFunction="sum" dataDxfId="476" totalsRowDxfId="475"/>
    <tableColumn id="7" name="7#" totalsRowFunction="sum" dataDxfId="474" totalsRowDxfId="473"/>
    <tableColumn id="8" name="7A#" totalsRowFunction="sum" dataDxfId="472" totalsRowDxfId="471"/>
    <tableColumn id="9" name="8#" totalsRowFunction="sum" dataDxfId="470" totalsRowDxfId="469"/>
    <tableColumn id="10" name="9#" totalsRowFunction="sum" dataDxfId="468" totalsRowDxfId="467"/>
    <tableColumn id="11" name="10#" totalsRowFunction="sum" dataDxfId="466" totalsRowDxfId="465"/>
    <tableColumn id="12" name="11#" totalsRowFunction="sum" dataDxfId="464" totalsRowDxfId="463"/>
    <tableColumn id="13" name="11C#" totalsRowFunction="sum" dataDxfId="462" totalsRowDxfId="461"/>
    <tableColumn id="14" name="12#" totalsRowFunction="sum" dataDxfId="460" totalsRowDxfId="459"/>
    <tableColumn id="15" name="14#" totalsRowFunction="sum" dataDxfId="458" totalsRowDxfId="457"/>
    <tableColumn id="16" name="16#" totalsRowFunction="sum" dataDxfId="456" totalsRowDxfId="455"/>
    <tableColumn id="17" name="17#" totalsRowFunction="sum" dataDxfId="454" totalsRowDxfId="453"/>
    <tableColumn id="18" name="20#" totalsRowFunction="sum" dataDxfId="452" totalsRowDxfId="451"/>
    <tableColumn id="19" name="E&amp;F" totalsRowFunction="sum" dataDxfId="450" totalsRowDxfId="449"/>
    <tableColumn id="20" name="Minpro" totalsRowFunction="sum" dataDxfId="448" totalsRowDxfId="447"/>
    <tableColumn id="21" name="Totals for Days" totalsRowFunction="sum" dataDxfId="446" totalsRowDxfId="445">
      <calculatedColumnFormula>SUM(Table10136[[#This Row],[1'#]:[Minpro]])</calculatedColumnFormula>
    </tableColumn>
  </tableColumns>
  <tableStyleInfo name="TableStyleMedium9" showFirstColumn="0" showLastColumn="1" showRowStripes="1" showColumnStripes="0"/>
</table>
</file>

<file path=xl/tables/table15.xml><?xml version="1.0" encoding="utf-8"?>
<table xmlns="http://schemas.openxmlformats.org/spreadsheetml/2006/main" id="136" name="Table11137" displayName="Table11137" ref="A49:J55" totalsRowShown="0" headerRowDxfId="444" totalsRowDxfId="441" headerRowBorderDxfId="443" tableBorderDxfId="442" totalsRowBorderDxfId="440">
  <autoFilter ref="A49:J55"/>
  <tableColumns count="10">
    <tableColumn id="1" name="Date" dataDxfId="439" totalsRowDxfId="438">
      <calculatedColumnFormula>A5</calculatedColumnFormula>
    </tableColumn>
    <tableColumn id="2" name="Contractors" dataDxfId="437" totalsRowDxfId="436"/>
    <tableColumn id="3" name="Percentage Contactors of Total Impressions" dataDxfId="435" totalsRowDxfId="434">
      <calculatedColumnFormula>Table11137[[#This Row],[Contractors]]/U40</calculatedColumnFormula>
    </tableColumn>
    <tableColumn id="4" name="New Recruits" dataDxfId="433" totalsRowDxfId="432"/>
    <tableColumn id="5" name="Percentage New Recruits of Total Impressions" dataDxfId="431" totalsRowDxfId="430">
      <calculatedColumnFormula>Table11137[[#This Row],[New Recruits]]/U40</calculatedColumnFormula>
    </tableColumn>
    <tableColumn id="6" name="2 Year Claims" dataDxfId="429" totalsRowDxfId="428"/>
    <tableColumn id="7" name="Percentage 2 Year Claims of Total Impressions" dataDxfId="427" totalsRowDxfId="426">
      <calculatedColumnFormula>Table11137[[#This Row],[2 Year Claims]]/U40</calculatedColumnFormula>
    </tableColumn>
    <tableColumn id="8" name="5 Year Claim" dataDxfId="425" totalsRowDxfId="424"/>
    <tableColumn id="9" name="Percentage of 5 Year Claims of Total Impressions" dataDxfId="423" totalsRowDxfId="422">
      <calculatedColumnFormula>Table11137[[#This Row],[5 Year Claim]]/U40</calculatedColumnFormula>
    </tableColumn>
    <tableColumn id="10" name="Ear Health Problems" dataDxfId="421" totalsRowDxfId="420"/>
  </tableColumns>
  <tableStyleInfo name="TableStyleMedium9" showFirstColumn="0" showLastColumn="0" showRowStripes="1" showColumnStripes="0"/>
</table>
</file>

<file path=xl/tables/table16.xml><?xml version="1.0" encoding="utf-8"?>
<table xmlns="http://schemas.openxmlformats.org/spreadsheetml/2006/main" id="137" name="Table3138" displayName="Table3138" ref="A4:H15" headerRowDxfId="409" dataDxfId="407" totalsRowDxfId="405" headerRowBorderDxfId="408" tableBorderDxfId="406" totalsRowBorderDxfId="404">
  <autoFilter ref="A4:H15"/>
  <tableColumns count="8">
    <tableColumn id="1" name="Date" totalsRowLabel="Week 1 Total" dataDxfId="403" totalsRowDxfId="402">
      <calculatedColumnFormula>TODAY()+1</calculatedColumnFormula>
    </tableColumn>
    <tableColumn id="2" name="Shaft / Area" dataDxfId="401" totalsRowDxfId="400"/>
    <tableColumn id="3" name="Quantity to Parade" totalsRowFunction="sum" dataDxfId="399" totalsRowDxfId="398"/>
    <tableColumn id="4" name="Quantity Paraded" totalsRowFunction="sum" dataDxfId="397" totalsRowDxfId="396"/>
    <tableColumn id="5" name="Quantity Fitted at Shaft/Area" totalsRowFunction="sum" dataDxfId="395" totalsRowDxfId="394"/>
    <tableColumn id="6" name="Pecentage Fitted at Shaft/Area" totalsRowFunction="average" dataDxfId="393" totalsRowDxfId="392">
      <calculatedColumnFormula>Table3138[[#This Row],[Quantity Fitted at Shaft/Area]]/Table3138[[#This Row],[Quantity Paraded]]</calculatedColumnFormula>
    </tableColumn>
    <tableColumn id="7" name="Quantity Fitted at NC Office" totalsRowFunction="sum" dataDxfId="391" totalsRowDxfId="390"/>
    <tableColumn id="8" name="Total Fitted for the Day" totalsRowFunction="sum" dataDxfId="389" totalsRowDxfId="388">
      <calculatedColumnFormula>Table3138[[#This Row],[Quantity Fitted at Shaft/Area]]+Table3138[[#This Row],[Quantity Fitted at NC Office]]</calculatedColumnFormula>
    </tableColumn>
  </tableColumns>
  <tableStyleInfo name="TableStyleMedium9" showFirstColumn="0" showLastColumn="1" showRowStripes="1" showColumnStripes="0"/>
</table>
</file>

<file path=xl/tables/table17.xml><?xml version="1.0" encoding="utf-8"?>
<table xmlns="http://schemas.openxmlformats.org/spreadsheetml/2006/main" id="138" name="Table7139" displayName="Table7139" ref="A20:I31" headerRowDxfId="387" dataDxfId="385" totalsRowDxfId="383" headerRowBorderDxfId="386" tableBorderDxfId="384" totalsRowBorderDxfId="382">
  <autoFilter ref="A20:I31"/>
  <tableColumns count="9">
    <tableColumn id="1" name="Date" totalsRowFunction="custom" dataDxfId="381" totalsRowDxfId="380">
      <calculatedColumnFormula>A5</calculatedColumnFormula>
      <totalsRowFormula>Table3[[#Totals],[Date]]</totalsRowFormula>
    </tableColumn>
    <tableColumn id="2" name="Shaft / Area" dataDxfId="379" totalsRowDxfId="378"/>
    <tableColumn id="3" name="Leave" totalsRowFunction="sum" dataDxfId="377" totalsRowDxfId="376"/>
    <tableColumn id="4" name="Discharged" totalsRowFunction="sum" dataDxfId="375" totalsRowDxfId="374"/>
    <tableColumn id="5" name="Transferred to other Shaft / Area" totalsRowFunction="sum" dataDxfId="373" totalsRowDxfId="372"/>
    <tableColumn id="6" name="Sick Leave" totalsRowFunction="sum" dataDxfId="371" totalsRowDxfId="370"/>
    <tableColumn id="7" name="Training" totalsRowFunction="sum" dataDxfId="369" totalsRowDxfId="368"/>
    <tableColumn id="8" name="Other" totalsRowFunction="sum" dataDxfId="367" totalsRowDxfId="366"/>
    <tableColumn id="9" name="Total" totalsRowFunction="sum" dataDxfId="365" totalsRowDxfId="364">
      <calculatedColumnFormula>Table7139[[#This Row],[Leave]]+Table7139[[#This Row],[Discharged]]+Table7139[[#This Row],[Transferred to other Shaft / Area]]+Table7139[[#This Row],[Sick Leave]]+Table7139[[#This Row],[Training]]+Table7139[[#This Row],[Other]]</calculatedColumnFormula>
    </tableColumn>
  </tableColumns>
  <tableStyleInfo name="TableStyleMedium9" showFirstColumn="0" showLastColumn="1" showRowStripes="1" showColumnStripes="0"/>
</table>
</file>

<file path=xl/tables/table18.xml><?xml version="1.0" encoding="utf-8"?>
<table xmlns="http://schemas.openxmlformats.org/spreadsheetml/2006/main" id="139" name="Table9140" displayName="Table9140" ref="A35:E45" headerRowDxfId="363" dataDxfId="361" totalsRowDxfId="359" headerRowBorderDxfId="362" tableBorderDxfId="360" totalsRowBorderDxfId="358">
  <autoFilter ref="A35:E45"/>
  <tableColumns count="5">
    <tableColumn id="1" name="Date" totalsRowFunction="custom" dataDxfId="357" totalsRowDxfId="356">
      <totalsRowFormula>Table3[[#Totals],[Date]]</totalsRowFormula>
    </tableColumn>
    <tableColumn id="2" name="Shaft / Area" dataDxfId="355" totalsRowDxfId="354"/>
    <tableColumn id="3" name="Quantity Collected from Shaft" totalsRowFunction="sum" dataDxfId="353" totalsRowDxfId="352"/>
    <tableColumn id="4" name="Quantity employees going on leave and did not hand in their Noise Clippers" totalsRowFunction="sum" dataDxfId="351" totalsRowDxfId="350"/>
    <tableColumn id="5" name="Quantity Fitted at Office" totalsRowFunction="count" dataDxfId="349" totalsRowDxfId="348"/>
  </tableColumns>
  <tableStyleInfo name="TableStyleMedium9" showFirstColumn="0" showLastColumn="0" showRowStripes="1" showColumnStripes="0"/>
</table>
</file>

<file path=xl/tables/table19.xml><?xml version="1.0" encoding="utf-8"?>
<table xmlns="http://schemas.openxmlformats.org/spreadsheetml/2006/main" id="140" name="Table10141" displayName="Table10141" ref="A50:U56" headerRowDxfId="347" dataDxfId="345" totalsRowDxfId="343" headerRowBorderDxfId="346" tableBorderDxfId="344" totalsRowBorderDxfId="342">
  <autoFilter ref="A50:U56"/>
  <tableColumns count="21">
    <tableColumn id="1" name="Date" totalsRowFunction="custom" dataDxfId="341" totalsRowDxfId="340">
      <calculatedColumnFormula>A5</calculatedColumnFormula>
      <totalsRowFormula>A15</totalsRowFormula>
    </tableColumn>
    <tableColumn id="2" name="1#" totalsRowFunction="sum" dataDxfId="339" totalsRowDxfId="338"/>
    <tableColumn id="3" name="2#" totalsRowFunction="sum" dataDxfId="337" totalsRowDxfId="336"/>
    <tableColumn id="4" name="4#" totalsRowFunction="sum" dataDxfId="335" totalsRowDxfId="334"/>
    <tableColumn id="5" name="5#" totalsRowFunction="sum" dataDxfId="333" totalsRowDxfId="332"/>
    <tableColumn id="6" name="6#" totalsRowFunction="sum" dataDxfId="331" totalsRowDxfId="330"/>
    <tableColumn id="7" name="7#" totalsRowFunction="sum" dataDxfId="329" totalsRowDxfId="328"/>
    <tableColumn id="8" name="7A#" totalsRowFunction="sum" dataDxfId="327" totalsRowDxfId="326"/>
    <tableColumn id="9" name="8#" totalsRowFunction="sum" dataDxfId="325" totalsRowDxfId="324"/>
    <tableColumn id="10" name="9#" totalsRowFunction="sum" dataDxfId="323" totalsRowDxfId="322"/>
    <tableColumn id="11" name="10#" totalsRowFunction="sum" dataDxfId="321" totalsRowDxfId="320"/>
    <tableColumn id="12" name="11#" totalsRowFunction="sum" dataDxfId="319" totalsRowDxfId="318"/>
    <tableColumn id="13" name="11C#" totalsRowFunction="sum" dataDxfId="317" totalsRowDxfId="316"/>
    <tableColumn id="14" name="12#" totalsRowFunction="sum" dataDxfId="315" totalsRowDxfId="314"/>
    <tableColumn id="15" name="14#" totalsRowFunction="sum" dataDxfId="313" totalsRowDxfId="312"/>
    <tableColumn id="16" name="16#" totalsRowFunction="sum" dataDxfId="311" totalsRowDxfId="310"/>
    <tableColumn id="17" name="17#" totalsRowFunction="sum" dataDxfId="309" totalsRowDxfId="308"/>
    <tableColumn id="18" name="20#" totalsRowFunction="sum" dataDxfId="307" totalsRowDxfId="306"/>
    <tableColumn id="19" name="E&amp;F" totalsRowFunction="sum" dataDxfId="305" totalsRowDxfId="304"/>
    <tableColumn id="20" name="Minpro" totalsRowFunction="sum" dataDxfId="303" totalsRowDxfId="302"/>
    <tableColumn id="21" name="Totals for Days" totalsRowFunction="sum" dataDxfId="301" totalsRowDxfId="300">
      <calculatedColumnFormula>SUM(Table10141[[#This Row],[1'#]:[Minpro]])</calculatedColumnFormula>
    </tableColumn>
  </tableColumns>
  <tableStyleInfo name="TableStyleMedium9" showFirstColumn="0" showLastColumn="1" showRowStripes="1" showColumnStripes="0"/>
</table>
</file>

<file path=xl/tables/table2.xml><?xml version="1.0" encoding="utf-8"?>
<table xmlns="http://schemas.openxmlformats.org/spreadsheetml/2006/main" id="7" name="Table7" displayName="Table7" ref="A19:I29" headerRowDxfId="820" dataDxfId="818" totalsRowDxfId="816" headerRowBorderDxfId="819" tableBorderDxfId="817" totalsRowBorderDxfId="815">
  <autoFilter ref="A19:I29"/>
  <tableColumns count="9">
    <tableColumn id="1" name="Date" totalsRowFunction="custom" dataDxfId="814" totalsRowDxfId="813">
      <calculatedColumnFormula>A5</calculatedColumnFormula>
      <totalsRowFormula>Table3[[#Totals],[Date]]</totalsRowFormula>
    </tableColumn>
    <tableColumn id="2" name="Shaft / Area" dataDxfId="812" totalsRowDxfId="811"/>
    <tableColumn id="3" name="Leave" totalsRowFunction="sum" dataDxfId="810" totalsRowDxfId="809"/>
    <tableColumn id="4" name="Discharged" totalsRowFunction="sum" dataDxfId="808" totalsRowDxfId="807"/>
    <tableColumn id="5" name="Transferred to other Shaft / Area" totalsRowFunction="sum" dataDxfId="806" totalsRowDxfId="805"/>
    <tableColumn id="6" name="Sick Leave" totalsRowFunction="sum" dataDxfId="804" totalsRowDxfId="803"/>
    <tableColumn id="7" name="Training" totalsRowFunction="sum" dataDxfId="802" totalsRowDxfId="801"/>
    <tableColumn id="8" name="Other" totalsRowFunction="sum" dataDxfId="800" totalsRowDxfId="799"/>
    <tableColumn id="9" name="Total" totalsRowFunction="sum" dataDxfId="798" totalsRowDxfId="797">
      <calculatedColumnFormula>Table7[[#This Row],[Leave]]+Table7[[#This Row],[Discharged]]+Table7[[#This Row],[Transferred to other Shaft / Area]]+Table7[[#This Row],[Sick Leave]]+Table7[[#This Row],[Training]]+Table7[[#This Row],[Other]]</calculatedColumnFormula>
    </tableColumn>
  </tableColumns>
  <tableStyleInfo name="TableStyleMedium9" showFirstColumn="0" showLastColumn="1" showRowStripes="1" showColumnStripes="0"/>
</table>
</file>

<file path=xl/tables/table20.xml><?xml version="1.0" encoding="utf-8"?>
<table xmlns="http://schemas.openxmlformats.org/spreadsheetml/2006/main" id="141" name="Table11142" displayName="Table11142" ref="A60:J66" totalsRowShown="0" headerRowDxfId="299" totalsRowDxfId="296" headerRowBorderDxfId="298" tableBorderDxfId="297" totalsRowBorderDxfId="295">
  <autoFilter ref="A60:J66"/>
  <tableColumns count="10">
    <tableColumn id="1" name="Date" dataDxfId="294" totalsRowDxfId="293">
      <calculatedColumnFormula>A5</calculatedColumnFormula>
    </tableColumn>
    <tableColumn id="2" name="Contractors" dataDxfId="292" totalsRowDxfId="291"/>
    <tableColumn id="3" name="Percentage Contactors of Total Impressions" dataDxfId="290" totalsRowDxfId="289">
      <calculatedColumnFormula>Table11142[[#This Row],[Contractors]]/U51</calculatedColumnFormula>
    </tableColumn>
    <tableColumn id="4" name="New Recruits" dataDxfId="288" totalsRowDxfId="287"/>
    <tableColumn id="5" name="Percentage New Recruits of Total Impressions" dataDxfId="286" totalsRowDxfId="285">
      <calculatedColumnFormula>Table11142[[#This Row],[New Recruits]]/U51</calculatedColumnFormula>
    </tableColumn>
    <tableColumn id="6" name="2 Year Claims" dataDxfId="284" totalsRowDxfId="283"/>
    <tableColumn id="7" name="Percentage 2 Year Claims of Total Impressions" dataDxfId="282" totalsRowDxfId="281">
      <calculatedColumnFormula>Table11142[[#This Row],[2 Year Claims]]/U51</calculatedColumnFormula>
    </tableColumn>
    <tableColumn id="8" name="5 Year Claim" dataDxfId="280" totalsRowDxfId="279"/>
    <tableColumn id="9" name="Percentage of 5 Year Claims of Total Impressions" dataDxfId="278" totalsRowDxfId="277">
      <calculatedColumnFormula>Table11142[[#This Row],[5 Year Claim]]/U51</calculatedColumnFormula>
    </tableColumn>
    <tableColumn id="10" name="Ear Health Problems" dataDxfId="276" totalsRowDxfId="275"/>
  </tableColumns>
  <tableStyleInfo name="TableStyleMedium9" showFirstColumn="0" showLastColumn="0" showRowStripes="1" showColumnStripes="0"/>
</table>
</file>

<file path=xl/tables/table21.xml><?xml version="1.0" encoding="utf-8"?>
<table xmlns="http://schemas.openxmlformats.org/spreadsheetml/2006/main" id="142" name="Table3143" displayName="Table3143" ref="A4:H10" headerRowDxfId="269" dataDxfId="267" totalsRowDxfId="265" headerRowBorderDxfId="268" tableBorderDxfId="266" totalsRowBorderDxfId="264">
  <autoFilter ref="A4:H10"/>
  <tableColumns count="8">
    <tableColumn id="1" name="Date" totalsRowLabel="Week 1 Total" dataDxfId="263" totalsRowDxfId="262">
      <calculatedColumnFormula>TODAY()+1</calculatedColumnFormula>
    </tableColumn>
    <tableColumn id="2" name="Shaft / Area" dataDxfId="261" totalsRowDxfId="260"/>
    <tableColumn id="3" name="Quantity to Parade" totalsRowFunction="sum" dataDxfId="259" totalsRowDxfId="258"/>
    <tableColumn id="4" name="Quantity Paraded" totalsRowFunction="sum" dataDxfId="257" totalsRowDxfId="256"/>
    <tableColumn id="5" name="Quantity Fitted at Shaft/Area" totalsRowFunction="sum" dataDxfId="255" totalsRowDxfId="254"/>
    <tableColumn id="6" name="Pecentage Fitted at Shaft/Area" totalsRowFunction="average" dataDxfId="253" totalsRowDxfId="252">
      <calculatedColumnFormula>Table3143[[#This Row],[Quantity Fitted at Shaft/Area]]/Table3143[[#This Row],[Quantity Paraded]]</calculatedColumnFormula>
    </tableColumn>
    <tableColumn id="7" name="Quantity Fitted at NC Office" totalsRowFunction="sum" dataDxfId="251" totalsRowDxfId="250"/>
    <tableColumn id="8" name="Total Fitted for the Day" totalsRowFunction="sum" dataDxfId="249" totalsRowDxfId="248">
      <calculatedColumnFormula>Table3143[[#This Row],[Quantity Fitted at Shaft/Area]]+Table3143[[#This Row],[Quantity Fitted at NC Office]]</calculatedColumnFormula>
    </tableColumn>
  </tableColumns>
  <tableStyleInfo name="TableStyleMedium9" showFirstColumn="0" showLastColumn="1" showRowStripes="1" showColumnStripes="0"/>
</table>
</file>

<file path=xl/tables/table22.xml><?xml version="1.0" encoding="utf-8"?>
<table xmlns="http://schemas.openxmlformats.org/spreadsheetml/2006/main" id="143" name="Table7144" displayName="Table7144" ref="A15:I21" headerRowDxfId="247" dataDxfId="245" totalsRowDxfId="243" headerRowBorderDxfId="246" tableBorderDxfId="244" totalsRowBorderDxfId="242">
  <autoFilter ref="A15:I21"/>
  <tableColumns count="9">
    <tableColumn id="1" name="Date" totalsRowFunction="custom" dataDxfId="241" totalsRowDxfId="240">
      <calculatedColumnFormula>A5</calculatedColumnFormula>
      <totalsRowFormula>Table3[[#Totals],[Date]]</totalsRowFormula>
    </tableColumn>
    <tableColumn id="2" name="Shaft / Area" dataDxfId="239" totalsRowDxfId="238"/>
    <tableColumn id="3" name="Leave" totalsRowFunction="sum" dataDxfId="237" totalsRowDxfId="236"/>
    <tableColumn id="4" name="Discharged" totalsRowFunction="sum" dataDxfId="235" totalsRowDxfId="234"/>
    <tableColumn id="5" name="Transferred to other Shaft / Area" totalsRowFunction="sum" dataDxfId="233" totalsRowDxfId="232"/>
    <tableColumn id="6" name="Sick Leave" totalsRowFunction="sum" dataDxfId="231" totalsRowDxfId="230"/>
    <tableColumn id="7" name="Training" totalsRowFunction="sum" dataDxfId="229" totalsRowDxfId="228"/>
    <tableColumn id="8" name="Other" totalsRowFunction="sum" dataDxfId="227" totalsRowDxfId="226"/>
    <tableColumn id="9" name="Total" totalsRowFunction="sum" dataDxfId="225" totalsRowDxfId="224">
      <calculatedColumnFormula>Table7144[[#This Row],[Leave]]+Table7144[[#This Row],[Discharged]]+Table7144[[#This Row],[Transferred to other Shaft / Area]]+Table7144[[#This Row],[Sick Leave]]+Table7144[[#This Row],[Training]]+Table7144[[#This Row],[Other]]</calculatedColumnFormula>
    </tableColumn>
  </tableColumns>
  <tableStyleInfo name="TableStyleMedium9" showFirstColumn="0" showLastColumn="1" showRowStripes="1" showColumnStripes="0"/>
</table>
</file>

<file path=xl/tables/table23.xml><?xml version="1.0" encoding="utf-8"?>
<table xmlns="http://schemas.openxmlformats.org/spreadsheetml/2006/main" id="144" name="Table9145" displayName="Table9145" ref="A25:E31" headerRowDxfId="223" dataDxfId="221" totalsRowDxfId="219" headerRowBorderDxfId="222" tableBorderDxfId="220" totalsRowBorderDxfId="218">
  <autoFilter ref="A25:E31"/>
  <tableColumns count="5">
    <tableColumn id="1" name="Date" totalsRowFunction="custom" dataDxfId="217" totalsRowDxfId="216">
      <totalsRowFormula>Table3[[#Totals],[Date]]</totalsRowFormula>
    </tableColumn>
    <tableColumn id="2" name="Shaft / Area" dataDxfId="215" totalsRowDxfId="214"/>
    <tableColumn id="3" name="Quantity Collected from Shaft" totalsRowFunction="sum" dataDxfId="213" totalsRowDxfId="212"/>
    <tableColumn id="4" name="Quantity employees going on leave and did not hand in their Noise Clippers" totalsRowFunction="sum" dataDxfId="211" totalsRowDxfId="210"/>
    <tableColumn id="5" name="Quantity Fitted at Office" totalsRowFunction="count" dataDxfId="209" totalsRowDxfId="208"/>
  </tableColumns>
  <tableStyleInfo name="TableStyleMedium9" showFirstColumn="0" showLastColumn="0" showRowStripes="1" showColumnStripes="0"/>
</table>
</file>

<file path=xl/tables/table24.xml><?xml version="1.0" encoding="utf-8"?>
<table xmlns="http://schemas.openxmlformats.org/spreadsheetml/2006/main" id="145" name="Table10146" displayName="Table10146" ref="A36:U40" headerRowDxfId="207" dataDxfId="205" totalsRowDxfId="203" headerRowBorderDxfId="206" tableBorderDxfId="204" totalsRowBorderDxfId="202">
  <autoFilter ref="A36:U40"/>
  <tableColumns count="21">
    <tableColumn id="1" name="Date" totalsRowFunction="custom" dataDxfId="201" totalsRowDxfId="200">
      <calculatedColumnFormula>A5</calculatedColumnFormula>
      <totalsRowFormula>A10</totalsRowFormula>
    </tableColumn>
    <tableColumn id="2" name="1#" totalsRowFunction="sum" dataDxfId="199" totalsRowDxfId="198"/>
    <tableColumn id="3" name="2#" totalsRowFunction="sum" dataDxfId="197" totalsRowDxfId="196"/>
    <tableColumn id="4" name="4#" totalsRowFunction="sum" dataDxfId="195" totalsRowDxfId="194"/>
    <tableColumn id="5" name="5#" totalsRowFunction="sum" dataDxfId="193" totalsRowDxfId="192"/>
    <tableColumn id="6" name="6#" totalsRowFunction="sum" dataDxfId="191" totalsRowDxfId="190"/>
    <tableColumn id="7" name="7#" totalsRowFunction="sum" dataDxfId="189" totalsRowDxfId="188"/>
    <tableColumn id="8" name="7A#" totalsRowFunction="sum" dataDxfId="187" totalsRowDxfId="186"/>
    <tableColumn id="9" name="8#" totalsRowFunction="sum" dataDxfId="185" totalsRowDxfId="184"/>
    <tableColumn id="10" name="9#" totalsRowFunction="sum" dataDxfId="183" totalsRowDxfId="182"/>
    <tableColumn id="11" name="10#" totalsRowFunction="sum" dataDxfId="181" totalsRowDxfId="180"/>
    <tableColumn id="12" name="11#" totalsRowFunction="sum" dataDxfId="179" totalsRowDxfId="178"/>
    <tableColumn id="13" name="11C#" totalsRowFunction="sum" dataDxfId="177" totalsRowDxfId="176"/>
    <tableColumn id="14" name="12#" totalsRowFunction="sum" dataDxfId="175" totalsRowDxfId="174"/>
    <tableColumn id="15" name="14#" totalsRowFunction="sum" dataDxfId="173" totalsRowDxfId="172"/>
    <tableColumn id="16" name="16#" totalsRowFunction="sum" dataDxfId="171" totalsRowDxfId="170"/>
    <tableColumn id="17" name="17#" totalsRowFunction="sum" dataDxfId="169" totalsRowDxfId="168"/>
    <tableColumn id="18" name="20#" totalsRowFunction="sum" dataDxfId="167" totalsRowDxfId="166"/>
    <tableColumn id="19" name="E&amp;F" totalsRowFunction="sum" dataDxfId="165" totalsRowDxfId="164"/>
    <tableColumn id="20" name="Minpro" totalsRowFunction="sum" dataDxfId="163" totalsRowDxfId="162"/>
    <tableColumn id="21" name="Totals for Days" totalsRowFunction="sum" dataDxfId="161" totalsRowDxfId="160">
      <calculatedColumnFormula>SUM(Table10146[[#This Row],[1'#]:[Minpro]])</calculatedColumnFormula>
    </tableColumn>
  </tableColumns>
  <tableStyleInfo name="TableStyleMedium9" showFirstColumn="0" showLastColumn="1" showRowStripes="1" showColumnStripes="0"/>
</table>
</file>

<file path=xl/tables/table25.xml><?xml version="1.0" encoding="utf-8"?>
<table xmlns="http://schemas.openxmlformats.org/spreadsheetml/2006/main" id="146" name="Table11147" displayName="Table11147" ref="A44:J48" totalsRowShown="0" headerRowDxfId="159" totalsRowDxfId="156" headerRowBorderDxfId="158" tableBorderDxfId="157" totalsRowBorderDxfId="155">
  <autoFilter ref="A44:J48"/>
  <tableColumns count="10">
    <tableColumn id="1" name="Date" dataDxfId="154" totalsRowDxfId="153">
      <calculatedColumnFormula>A5</calculatedColumnFormula>
    </tableColumn>
    <tableColumn id="2" name="Contractors" dataDxfId="152" totalsRowDxfId="151"/>
    <tableColumn id="3" name="Percentage Contactors of Total Impressions" dataDxfId="150" totalsRowDxfId="149">
      <calculatedColumnFormula>Table11147[[#This Row],[Contractors]]/U37</calculatedColumnFormula>
    </tableColumn>
    <tableColumn id="4" name="New Recruits" dataDxfId="148" totalsRowDxfId="147"/>
    <tableColumn id="5" name="Percentage New Recruits of Total Impressions" dataDxfId="146" totalsRowDxfId="145">
      <calculatedColumnFormula>Table11147[[#This Row],[New Recruits]]/U37</calculatedColumnFormula>
    </tableColumn>
    <tableColumn id="6" name="2 Year Claims" dataDxfId="144" totalsRowDxfId="143"/>
    <tableColumn id="7" name="Percentage 2 Year Claims of Total Impressions" dataDxfId="142" totalsRowDxfId="141">
      <calculatedColumnFormula>Table11147[[#This Row],[2 Year Claims]]/U37</calculatedColumnFormula>
    </tableColumn>
    <tableColumn id="8" name="5 Year Claim" dataDxfId="140" totalsRowDxfId="139"/>
    <tableColumn id="9" name="Percentage of 5 Year Claims of Total Impressions" dataDxfId="138" totalsRowDxfId="137">
      <calculatedColumnFormula>Table11147[[#This Row],[5 Year Claim]]/U37</calculatedColumnFormula>
    </tableColumn>
    <tableColumn id="10" name="Ear Health Problems" dataDxfId="136" totalsRowDxfId="135"/>
  </tableColumns>
  <tableStyleInfo name="TableStyleMedium9" showFirstColumn="0" showLastColumn="0" showRowStripes="1" showColumnStripes="0"/>
</table>
</file>

<file path=xl/tables/table26.xml><?xml version="1.0" encoding="utf-8"?>
<table xmlns="http://schemas.openxmlformats.org/spreadsheetml/2006/main" id="116" name="Table3117" displayName="Table3117" ref="A4:H46" headerRowDxfId="134" dataDxfId="132" totalsRowDxfId="130" headerRowBorderDxfId="133" tableBorderDxfId="131" totalsRowBorderDxfId="129">
  <autoFilter ref="A4:H46"/>
  <tableColumns count="8">
    <tableColumn id="1" name="Date" totalsRowFunction="custom" dataDxfId="128" totalsRowDxfId="127">
      <calculatedColumnFormula>Table3[[#This Row],[Date]]</calculatedColumnFormula>
      <totalsRowFormula>Table3[[#Totals],[Date]]</totalsRowFormula>
    </tableColumn>
    <tableColumn id="2" name="Shaft / Area" dataDxfId="126" totalsRowDxfId="125">
      <calculatedColumnFormula>Table3[[#This Row],[Shaft / Area]]</calculatedColumnFormula>
    </tableColumn>
    <tableColumn id="3" name="Quantity to Parade" totalsRowFunction="sum" dataDxfId="124" totalsRowDxfId="123">
      <calculatedColumnFormula>Table3[[#This Row],[Quantity to Parade]]</calculatedColumnFormula>
    </tableColumn>
    <tableColumn id="4" name="Quantity Paraded" totalsRowFunction="sum" dataDxfId="122" totalsRowDxfId="121">
      <calculatedColumnFormula>Table3[[#This Row],[Quantity Paraded]]</calculatedColumnFormula>
    </tableColumn>
    <tableColumn id="5" name="Quantity Fitted at Shaft/Area" totalsRowFunction="sum" dataDxfId="120" totalsRowDxfId="119">
      <calculatedColumnFormula>Table3[[#This Row],[Quantity Fitted at Shaft/Area]]</calculatedColumnFormula>
    </tableColumn>
    <tableColumn id="6" name="Pecentage Fitted at Shaft/Area" totalsRowFunction="average" dataDxfId="118" totalsRowDxfId="117">
      <calculatedColumnFormula>Table3[[#This Row],[Pecentage Fitted at Shaft/Area]]</calculatedColumnFormula>
    </tableColumn>
    <tableColumn id="7" name="Quantity Fitted at NC Office" totalsRowFunction="sum" dataDxfId="116" totalsRowDxfId="115">
      <calculatedColumnFormula>Table3[[#This Row],[Quantity Fitted at NC Office]]</calculatedColumnFormula>
    </tableColumn>
    <tableColumn id="8" name="Total Fitted for the Day" totalsRowFunction="sum" dataDxfId="114" totalsRowDxfId="113">
      <calculatedColumnFormula>Table3[[#This Row],[Total Fitted for the Day]]</calculatedColumnFormula>
    </tableColumn>
  </tableColumns>
  <tableStyleInfo name="TableStyleMedium9" showFirstColumn="0" showLastColumn="1" showRowStripes="1" showColumnStripes="0"/>
</table>
</file>

<file path=xl/tables/table27.xml><?xml version="1.0" encoding="utf-8"?>
<table xmlns="http://schemas.openxmlformats.org/spreadsheetml/2006/main" id="117" name="Table7118" displayName="Table7118" ref="A50:I92" headerRowDxfId="112" dataDxfId="110" totalsRowDxfId="108" headerRowBorderDxfId="111" tableBorderDxfId="109" totalsRowBorderDxfId="107">
  <autoFilter ref="A50:I92"/>
  <tableColumns count="9">
    <tableColumn id="1" name="Date" totalsRowFunction="custom" dataDxfId="106" totalsRowDxfId="105">
      <calculatedColumnFormula>A5</calculatedColumnFormula>
      <totalsRowFormula>Table3[[#Totals],[Date]]</totalsRowFormula>
    </tableColumn>
    <tableColumn id="2" name="Shaft / Area" totalsRowFunction="custom" dataDxfId="104" totalsRowDxfId="103">
      <totalsRowFormula>SUM(B51:B92)</totalsRowFormula>
    </tableColumn>
    <tableColumn id="3" name="Leave" totalsRowFunction="sum" dataDxfId="102" totalsRowDxfId="101"/>
    <tableColumn id="4" name="Discharged" totalsRowFunction="sum" dataDxfId="100" totalsRowDxfId="99"/>
    <tableColumn id="5" name="Transferred to other Shaft / Area" totalsRowFunction="sum" dataDxfId="98" totalsRowDxfId="97"/>
    <tableColumn id="6" name="Sick Leave" totalsRowFunction="sum" dataDxfId="96" totalsRowDxfId="95"/>
    <tableColumn id="7" name="Training" totalsRowFunction="sum" dataDxfId="94" totalsRowDxfId="93"/>
    <tableColumn id="8" name="Other" totalsRowFunction="sum" dataDxfId="92" totalsRowDxfId="91"/>
    <tableColumn id="9" name="Total" totalsRowFunction="sum" dataDxfId="90" totalsRowDxfId="89">
      <calculatedColumnFormula>Table7118[[#This Row],[Leave]]+Table7118[[#This Row],[Discharged]]+Table7118[[#This Row],[Transferred to other Shaft / Area]]+Table7118[[#This Row],[Sick Leave]]+Table7118[[#This Row],[Training]]+Table7118[[#This Row],[Other]]</calculatedColumnFormula>
    </tableColumn>
  </tableColumns>
  <tableStyleInfo name="TableStyleMedium9" showFirstColumn="0" showLastColumn="1" showRowStripes="1" showColumnStripes="0"/>
</table>
</file>

<file path=xl/tables/table28.xml><?xml version="1.0" encoding="utf-8"?>
<table xmlns="http://schemas.openxmlformats.org/spreadsheetml/2006/main" id="118" name="Table9119" displayName="Table9119" ref="A96:E144" headerRowDxfId="88" dataDxfId="86" totalsRowDxfId="84" headerRowBorderDxfId="87" tableBorderDxfId="85" totalsRowBorderDxfId="83">
  <autoFilter ref="A96:E144"/>
  <tableColumns count="5">
    <tableColumn id="1" name="Date" totalsRowFunction="custom" dataDxfId="82" totalsRowDxfId="81">
      <totalsRowFormula>Table3[[#Totals],[Date]]</totalsRowFormula>
    </tableColumn>
    <tableColumn id="2" name="Shaft / Area" dataDxfId="80" totalsRowDxfId="79"/>
    <tableColumn id="3" name="Quantity Collected from Shaft" totalsRowFunction="sum" dataDxfId="78" totalsRowDxfId="77"/>
    <tableColumn id="4" name="Quantity employees going on leave and did not hand in their Noise Clippers" totalsRowFunction="sum" dataDxfId="76" totalsRowDxfId="75"/>
    <tableColumn id="5" name="Quantity Fitted at Office" totalsRowFunction="count" dataDxfId="74" totalsRowDxfId="73"/>
  </tableColumns>
  <tableStyleInfo name="TableStyleMedium9" showFirstColumn="0" showLastColumn="0" showRowStripes="1" showColumnStripes="0"/>
</table>
</file>

<file path=xl/tables/table29.xml><?xml version="1.0" encoding="utf-8"?>
<table xmlns="http://schemas.openxmlformats.org/spreadsheetml/2006/main" id="119" name="Table10120" displayName="Table10120" ref="A148:U176" headerRowDxfId="72" dataDxfId="70" totalsRowDxfId="68" headerRowBorderDxfId="71" tableBorderDxfId="69" totalsRowBorderDxfId="67">
  <autoFilter ref="A148:U176"/>
  <tableColumns count="21">
    <tableColumn id="1" name="Date" totalsRowLabel="Month Total" dataDxfId="66" totalsRowDxfId="65">
      <calculatedColumnFormula>A5</calculatedColumnFormula>
    </tableColumn>
    <tableColumn id="2" name="1#" totalsRowFunction="custom" dataDxfId="64" totalsRowDxfId="63">
      <totalsRowFormula>SUM(B154+B160+B166+B172+B175)</totalsRowFormula>
    </tableColumn>
    <tableColumn id="3" name="2#" totalsRowFunction="custom" dataDxfId="62" totalsRowDxfId="61">
      <totalsRowFormula>SUM(C174:C175)</totalsRowFormula>
    </tableColumn>
    <tableColumn id="4" name="4#" totalsRowFunction="custom" dataDxfId="60" totalsRowDxfId="59">
      <totalsRowFormula>SUM(D174:D175)</totalsRowFormula>
    </tableColumn>
    <tableColumn id="5" name="5#" totalsRowFunction="custom" dataDxfId="58" totalsRowDxfId="57">
      <totalsRowFormula>SUM(E174:E175)</totalsRowFormula>
    </tableColumn>
    <tableColumn id="6" name="6#" totalsRowFunction="custom" dataDxfId="56" totalsRowDxfId="55">
      <totalsRowFormula>SUM(F174:F175)</totalsRowFormula>
    </tableColumn>
    <tableColumn id="7" name="7#" totalsRowFunction="custom" dataDxfId="54" totalsRowDxfId="53">
      <totalsRowFormula>SUM(G174:G175)</totalsRowFormula>
    </tableColumn>
    <tableColumn id="8" name="7A#" totalsRowFunction="custom" dataDxfId="52" totalsRowDxfId="51">
      <totalsRowFormula>SUM(H174:H175)</totalsRowFormula>
    </tableColumn>
    <tableColumn id="9" name="8#" totalsRowFunction="custom" dataDxfId="50" totalsRowDxfId="49">
      <totalsRowFormula>SUM(I174:I175)</totalsRowFormula>
    </tableColumn>
    <tableColumn id="10" name="9#" totalsRowFunction="custom" dataDxfId="48" totalsRowDxfId="47">
      <totalsRowFormula>SUM(J174:J175)</totalsRowFormula>
    </tableColumn>
    <tableColumn id="11" name="10#" totalsRowFunction="custom" dataDxfId="46" totalsRowDxfId="45">
      <totalsRowFormula>SUM(K174:K175)</totalsRowFormula>
    </tableColumn>
    <tableColumn id="12" name="11#" totalsRowFunction="custom" dataDxfId="44" totalsRowDxfId="43">
      <totalsRowFormula>SUM(L174:L175)</totalsRowFormula>
    </tableColumn>
    <tableColumn id="13" name="11C#" totalsRowFunction="custom" dataDxfId="42" totalsRowDxfId="41">
      <totalsRowFormula>SUM(M174:M175)</totalsRowFormula>
    </tableColumn>
    <tableColumn id="14" name="12#" totalsRowFunction="custom" dataDxfId="40" totalsRowDxfId="39">
      <totalsRowFormula>SUM(N174:N175)</totalsRowFormula>
    </tableColumn>
    <tableColumn id="15" name="14#" totalsRowFunction="custom" dataDxfId="38" totalsRowDxfId="37">
      <totalsRowFormula>SUM(O174:O175)</totalsRowFormula>
    </tableColumn>
    <tableColumn id="16" name="16#" totalsRowFunction="custom" dataDxfId="36" totalsRowDxfId="35">
      <totalsRowFormula>SUM(P174:P175)</totalsRowFormula>
    </tableColumn>
    <tableColumn id="17" name="17#" totalsRowFunction="custom" dataDxfId="34" totalsRowDxfId="33">
      <totalsRowFormula>SUM(Q174:Q175)</totalsRowFormula>
    </tableColumn>
    <tableColumn id="18" name="20#" totalsRowFunction="custom" dataDxfId="32" totalsRowDxfId="31">
      <totalsRowFormula>SUM(R174:R175)</totalsRowFormula>
    </tableColumn>
    <tableColumn id="19" name="E&amp;F" totalsRowFunction="custom" dataDxfId="30" totalsRowDxfId="29">
      <totalsRowFormula>SUM(S174:S175)</totalsRowFormula>
    </tableColumn>
    <tableColumn id="20" name="Minpro" totalsRowFunction="custom" dataDxfId="28" totalsRowDxfId="27">
      <totalsRowFormula>SUM(T174:T175)</totalsRowFormula>
    </tableColumn>
    <tableColumn id="21" name="Totals for Days" totalsRowFunction="custom" dataDxfId="26" totalsRowDxfId="25">
      <calculatedColumnFormula>SUM(Table10120[[#This Row],[1'#]:[Minpro]])</calculatedColumnFormula>
      <totalsRowFormula>SUM(U174:U175)</totalsRowFormula>
    </tableColumn>
  </tableColumns>
  <tableStyleInfo name="TableStyleMedium9" showFirstColumn="0" showLastColumn="1" showRowStripes="1" showColumnStripes="0"/>
</table>
</file>

<file path=xl/tables/table3.xml><?xml version="1.0" encoding="utf-8"?>
<table xmlns="http://schemas.openxmlformats.org/spreadsheetml/2006/main" id="9" name="Table9" displayName="Table9" ref="A33:E47" headerRowDxfId="796" dataDxfId="794" totalsRowDxfId="792" headerRowBorderDxfId="795" tableBorderDxfId="793" totalsRowBorderDxfId="791">
  <autoFilter ref="A33:E47"/>
  <tableColumns count="5">
    <tableColumn id="1" name="Date" totalsRowFunction="custom" dataDxfId="790" totalsRowDxfId="789">
      <totalsRowFormula>Table3[[#Totals],[Date]]</totalsRowFormula>
    </tableColumn>
    <tableColumn id="2" name="Shaft / Area" dataDxfId="788" totalsRowDxfId="787"/>
    <tableColumn id="3" name="Quantity Collected from Shaft" totalsRowFunction="sum" dataDxfId="786" totalsRowDxfId="785"/>
    <tableColumn id="4" name="Quantity employees going on leave and did not hand in their Noise Clippers" totalsRowFunction="sum" dataDxfId="784" totalsRowDxfId="783"/>
    <tableColumn id="5" name="Quantity Fitted at Office" totalsRowFunction="count" dataDxfId="782" totalsRowDxfId="781"/>
  </tableColumns>
  <tableStyleInfo name="TableStyleMedium9" showFirstColumn="0" showLastColumn="0" showRowStripes="1" showColumnStripes="0"/>
</table>
</file>

<file path=xl/tables/table30.xml><?xml version="1.0" encoding="utf-8"?>
<table xmlns="http://schemas.openxmlformats.org/spreadsheetml/2006/main" id="120" name="Table11121" displayName="Table11121" ref="A180:J208" headerRowDxfId="24" totalsRowDxfId="21" headerRowBorderDxfId="23" tableBorderDxfId="22" totalsRowBorderDxfId="20">
  <autoFilter ref="A180:J208"/>
  <tableColumns count="10">
    <tableColumn id="1" name="Date" totalsRowFunction="custom" dataDxfId="19" totalsRowDxfId="18">
      <calculatedColumnFormula>A5</calculatedColumnFormula>
      <totalsRowFormula>#REF!</totalsRowFormula>
    </tableColumn>
    <tableColumn id="2" name="Contractors" totalsRowFunction="custom" dataDxfId="17" totalsRowDxfId="16">
      <totalsRowFormula>SUM(B206:B207)</totalsRowFormula>
    </tableColumn>
    <tableColumn id="3" name="Percentage Contactors of Total Impressions" totalsRowFunction="custom" dataDxfId="15" totalsRowDxfId="14">
      <calculatedColumnFormula>Table11121[[#This Row],[Contractors]]/U149</calculatedColumnFormula>
      <totalsRowFormula>AVERAGE(C206:C207)</totalsRowFormula>
    </tableColumn>
    <tableColumn id="4" name="New Recruits" totalsRowFunction="custom" dataDxfId="13" totalsRowDxfId="12">
      <totalsRowFormula>SUM(D206:D207)</totalsRowFormula>
    </tableColumn>
    <tableColumn id="5" name="Percentage New Recruits of Total Impressions" totalsRowFunction="custom" dataDxfId="11" totalsRowDxfId="10">
      <calculatedColumnFormula>Table11121[[#This Row],[New Recruits]]/U149</calculatedColumnFormula>
      <totalsRowFormula>AVERAGE(E206:E207)</totalsRowFormula>
    </tableColumn>
    <tableColumn id="6" name="2 Year Claims" totalsRowFunction="custom" dataDxfId="9" totalsRowDxfId="8">
      <totalsRowFormula>SUM(F206:F207)</totalsRowFormula>
    </tableColumn>
    <tableColumn id="7" name="Percentage 2 Year Claims of Total Impressions" totalsRowFunction="custom" dataDxfId="7" totalsRowDxfId="6">
      <calculatedColumnFormula>Table11121[[#This Row],[2 Year Claims]]/U149</calculatedColumnFormula>
      <totalsRowFormula>AVERAGE(G206:G207)</totalsRowFormula>
    </tableColumn>
    <tableColumn id="8" name="5 Year Claim" totalsRowFunction="custom" dataDxfId="5" totalsRowDxfId="4">
      <totalsRowFormula>SUM(H206:H207)</totalsRowFormula>
    </tableColumn>
    <tableColumn id="9" name="Percentage of 5 Year Claims of Total Impressions" totalsRowFunction="custom" dataDxfId="3" totalsRowDxfId="2">
      <calculatedColumnFormula>Table11121[[#This Row],[5 Year Claim]]/U149</calculatedColumnFormula>
      <totalsRowFormula>AVERAGE(I206:I207)</totalsRowFormula>
    </tableColumn>
    <tableColumn id="10" name="Ear Health Problems" totalsRowFunction="custom" dataDxfId="1" totalsRowDxfId="0">
      <totalsRowFormula>SUM(J206:J207)</totalsRowFormula>
    </tableColumn>
  </tableColumns>
  <tableStyleInfo name="TableStyleMedium9" showFirstColumn="0" showLastColumn="0" showRowStripes="1" showColumnStripes="0"/>
</table>
</file>

<file path=xl/tables/table4.xml><?xml version="1.0" encoding="utf-8"?>
<table xmlns="http://schemas.openxmlformats.org/spreadsheetml/2006/main" id="10" name="Table10" displayName="Table10" ref="A52:U58" headerRowDxfId="780" dataDxfId="778" totalsRowDxfId="776" headerRowBorderDxfId="779" tableBorderDxfId="777" totalsRowBorderDxfId="775">
  <autoFilter ref="A52:U58"/>
  <tableColumns count="21">
    <tableColumn id="1" name="Date" totalsRowFunction="custom" dataDxfId="774" totalsRowDxfId="773">
      <calculatedColumnFormula>A5</calculatedColumnFormula>
      <totalsRowFormula>A14</totalsRowFormula>
    </tableColumn>
    <tableColumn id="2" name="1#" totalsRowFunction="sum" dataDxfId="772" totalsRowDxfId="771"/>
    <tableColumn id="3" name="2#" totalsRowFunction="sum" dataDxfId="770" totalsRowDxfId="769"/>
    <tableColumn id="4" name="4#" totalsRowFunction="sum" dataDxfId="768" totalsRowDxfId="767"/>
    <tableColumn id="5" name="5#" totalsRowFunction="sum" dataDxfId="766" totalsRowDxfId="765"/>
    <tableColumn id="6" name="6#" totalsRowFunction="sum" dataDxfId="764" totalsRowDxfId="763"/>
    <tableColumn id="7" name="7#" totalsRowFunction="sum" dataDxfId="762" totalsRowDxfId="761"/>
    <tableColumn id="8" name="7A#" totalsRowFunction="sum" dataDxfId="760" totalsRowDxfId="759"/>
    <tableColumn id="9" name="8#" totalsRowFunction="sum" dataDxfId="758" totalsRowDxfId="757"/>
    <tableColumn id="10" name="9#" totalsRowFunction="sum" dataDxfId="756" totalsRowDxfId="755"/>
    <tableColumn id="11" name="10#" totalsRowFunction="sum" dataDxfId="754" totalsRowDxfId="753"/>
    <tableColumn id="12" name="11#" totalsRowFunction="sum" dataDxfId="752" totalsRowDxfId="751"/>
    <tableColumn id="13" name="11C#" totalsRowFunction="sum" dataDxfId="750" totalsRowDxfId="749"/>
    <tableColumn id="14" name="12#" totalsRowFunction="sum" dataDxfId="748" totalsRowDxfId="747"/>
    <tableColumn id="15" name="14#" totalsRowFunction="sum" dataDxfId="746" totalsRowDxfId="745"/>
    <tableColumn id="16" name="16#" totalsRowFunction="sum" dataDxfId="744" totalsRowDxfId="743"/>
    <tableColumn id="17" name="17#" totalsRowFunction="sum" dataDxfId="742" totalsRowDxfId="741"/>
    <tableColumn id="18" name="20#" totalsRowFunction="sum" dataDxfId="740" totalsRowDxfId="739"/>
    <tableColumn id="19" name="E&amp;F" totalsRowFunction="sum" dataDxfId="738" totalsRowDxfId="737"/>
    <tableColumn id="20" name="Minpro" totalsRowFunction="sum" dataDxfId="736" totalsRowDxfId="735"/>
    <tableColumn id="21" name="Totals for Days" totalsRowFunction="sum" dataDxfId="734" totalsRowDxfId="733">
      <calculatedColumnFormula>SUM(Table10[[#This Row],[1'#]:[Minpro]])</calculatedColumnFormula>
    </tableColumn>
  </tableColumns>
  <tableStyleInfo name="TableStyleMedium9" showFirstColumn="0" showLastColumn="1" showRowStripes="1" showColumnStripes="0"/>
</table>
</file>

<file path=xl/tables/table5.xml><?xml version="1.0" encoding="utf-8"?>
<table xmlns="http://schemas.openxmlformats.org/spreadsheetml/2006/main" id="11" name="Table11" displayName="Table11" ref="A62:J68" totalsRowShown="0" headerRowDxfId="732" totalsRowDxfId="729" headerRowBorderDxfId="731" tableBorderDxfId="730" totalsRowBorderDxfId="728">
  <autoFilter ref="A62:J68"/>
  <tableColumns count="10">
    <tableColumn id="1" name="Date" dataDxfId="727" totalsRowDxfId="726">
      <calculatedColumnFormula>A5</calculatedColumnFormula>
    </tableColumn>
    <tableColumn id="2" name="Contractors" dataDxfId="725" totalsRowDxfId="724"/>
    <tableColumn id="3" name="Percentage Contactors of Total Impressions" dataDxfId="723" totalsRowDxfId="722">
      <calculatedColumnFormula>Table11[[#This Row],[Contractors]]/U53</calculatedColumnFormula>
    </tableColumn>
    <tableColumn id="4" name="New Recruits" dataDxfId="721" totalsRowDxfId="720"/>
    <tableColumn id="5" name="Percentage New Recruits of Total Impressions" dataDxfId="719" totalsRowDxfId="718">
      <calculatedColumnFormula>Table11[[#This Row],[New Recruits]]/U53</calculatedColumnFormula>
    </tableColumn>
    <tableColumn id="6" name="2 Year Claims" dataDxfId="717" totalsRowDxfId="716"/>
    <tableColumn id="7" name="Percentage 2 Year Claims of Total Impressions" dataDxfId="715" totalsRowDxfId="714">
      <calculatedColumnFormula>Table11[[#This Row],[2 Year Claims]]/U53</calculatedColumnFormula>
    </tableColumn>
    <tableColumn id="8" name="5 Year Claim" dataDxfId="713" totalsRowDxfId="712"/>
    <tableColumn id="9" name="Percentage of 5 Year Claims of Total Impressions" dataDxfId="711" totalsRowDxfId="710">
      <calculatedColumnFormula>Table11[[#This Row],[5 Year Claim]]/U53</calculatedColumnFormula>
    </tableColumn>
    <tableColumn id="10" name="Ear Health Problems" dataDxfId="709" totalsRowDxfId="708"/>
  </tableColumns>
  <tableStyleInfo name="TableStyleMedium9" showFirstColumn="0" showLastColumn="0" showRowStripes="1" showColumnStripes="0"/>
</table>
</file>

<file path=xl/tables/table6.xml><?xml version="1.0" encoding="utf-8"?>
<table xmlns="http://schemas.openxmlformats.org/spreadsheetml/2006/main" id="127" name="Table3128" displayName="Table3128" ref="A4:H12" headerRowDxfId="695" dataDxfId="693" totalsRowDxfId="691" headerRowBorderDxfId="694" tableBorderDxfId="692" totalsRowBorderDxfId="690">
  <autoFilter ref="A4:H12"/>
  <tableColumns count="8">
    <tableColumn id="1" name="Date" totalsRowLabel="Week 1 Total" dataDxfId="689" totalsRowDxfId="688">
      <calculatedColumnFormula>TODAY()+1</calculatedColumnFormula>
    </tableColumn>
    <tableColumn id="2" name="Shaft / Area" dataDxfId="687" totalsRowDxfId="686"/>
    <tableColumn id="3" name="Quantity to Parade" totalsRowFunction="sum" dataDxfId="685" totalsRowDxfId="684"/>
    <tableColumn id="4" name="Quantity Paraded" totalsRowFunction="sum" dataDxfId="683" totalsRowDxfId="682"/>
    <tableColumn id="5" name="Quantity Fitted at Shaft/Area" totalsRowFunction="sum" dataDxfId="681" totalsRowDxfId="680"/>
    <tableColumn id="6" name="Pecentage Fitted at Shaft/Area" totalsRowFunction="average" dataDxfId="679" totalsRowDxfId="678">
      <calculatedColumnFormula>Table3128[[#This Row],[Quantity Fitted at Shaft/Area]]/Table3128[[#This Row],[Quantity Paraded]]</calculatedColumnFormula>
    </tableColumn>
    <tableColumn id="7" name="Quantity Fitted at NC Office" totalsRowFunction="sum" dataDxfId="677" totalsRowDxfId="676"/>
    <tableColumn id="8" name="Total Fitted for the Day" totalsRowFunction="sum" dataDxfId="675" totalsRowDxfId="674">
      <calculatedColumnFormula>Table3128[[#This Row],[Quantity Fitted at Shaft/Area]]+Table3128[[#This Row],[Quantity Fitted at NC Office]]</calculatedColumnFormula>
    </tableColumn>
  </tableColumns>
  <tableStyleInfo name="TableStyleMedium9" showFirstColumn="0" showLastColumn="1" showRowStripes="1" showColumnStripes="0"/>
</table>
</file>

<file path=xl/tables/table7.xml><?xml version="1.0" encoding="utf-8"?>
<table xmlns="http://schemas.openxmlformats.org/spreadsheetml/2006/main" id="128" name="Table7129" displayName="Table7129" ref="A17:I25" headerRowDxfId="673" dataDxfId="671" totalsRowDxfId="669" headerRowBorderDxfId="672" tableBorderDxfId="670" totalsRowBorderDxfId="668">
  <autoFilter ref="A17:I25"/>
  <tableColumns count="9">
    <tableColumn id="1" name="Date" totalsRowFunction="custom" dataDxfId="667" totalsRowDxfId="666">
      <calculatedColumnFormula>A5</calculatedColumnFormula>
      <totalsRowFormula>Table3[[#Totals],[Date]]</totalsRowFormula>
    </tableColumn>
    <tableColumn id="2" name="Shaft / Area" dataDxfId="665" totalsRowDxfId="664"/>
    <tableColumn id="3" name="Leave" totalsRowFunction="sum" dataDxfId="663" totalsRowDxfId="662"/>
    <tableColumn id="4" name="Discharged" totalsRowFunction="sum" dataDxfId="661" totalsRowDxfId="660"/>
    <tableColumn id="5" name="Transferred to other Shaft / Area" totalsRowFunction="sum" dataDxfId="659" totalsRowDxfId="658"/>
    <tableColumn id="6" name="Sick Leave" totalsRowFunction="sum" dataDxfId="657" totalsRowDxfId="656"/>
    <tableColumn id="7" name="Training" totalsRowFunction="sum" dataDxfId="655" totalsRowDxfId="654"/>
    <tableColumn id="8" name="Other" totalsRowFunction="sum" dataDxfId="653" totalsRowDxfId="652"/>
    <tableColumn id="9" name="Total" totalsRowFunction="sum" dataDxfId="651" totalsRowDxfId="650">
      <calculatedColumnFormula>Table7129[[#This Row],[Leave]]+Table7129[[#This Row],[Discharged]]+Table7129[[#This Row],[Transferred to other Shaft / Area]]+Table7129[[#This Row],[Sick Leave]]+Table7129[[#This Row],[Training]]+Table7129[[#This Row],[Other]]</calculatedColumnFormula>
    </tableColumn>
  </tableColumns>
  <tableStyleInfo name="TableStyleMedium9" showFirstColumn="0" showLastColumn="1" showRowStripes="1" showColumnStripes="0"/>
</table>
</file>

<file path=xl/tables/table8.xml><?xml version="1.0" encoding="utf-8"?>
<table xmlns="http://schemas.openxmlformats.org/spreadsheetml/2006/main" id="129" name="Table9130" displayName="Table9130" ref="A29:E42" headerRowDxfId="649" dataDxfId="647" totalsRowDxfId="645" headerRowBorderDxfId="648" tableBorderDxfId="646" totalsRowBorderDxfId="644">
  <autoFilter ref="A29:E42"/>
  <tableColumns count="5">
    <tableColumn id="1" name="Date" totalsRowFunction="custom" dataDxfId="643" totalsRowDxfId="642">
      <totalsRowFormula>Table3[[#Totals],[Date]]</totalsRowFormula>
    </tableColumn>
    <tableColumn id="2" name="Shaft / Area" dataDxfId="641" totalsRowDxfId="640"/>
    <tableColumn id="3" name="Quantity Collected from Shaft" totalsRowFunction="sum" dataDxfId="639" totalsRowDxfId="638"/>
    <tableColumn id="4" name="Quantity employees going on leave and did not hand in their Noise Clippers" totalsRowFunction="sum" dataDxfId="637" totalsRowDxfId="636"/>
    <tableColumn id="5" name="Quantity Fitted at Office" totalsRowFunction="count" dataDxfId="635" totalsRowDxfId="634"/>
  </tableColumns>
  <tableStyleInfo name="TableStyleMedium9" showFirstColumn="0" showLastColumn="0" showRowStripes="1" showColumnStripes="0"/>
</table>
</file>

<file path=xl/tables/table9.xml><?xml version="1.0" encoding="utf-8"?>
<table xmlns="http://schemas.openxmlformats.org/spreadsheetml/2006/main" id="130" name="Table10131" displayName="Table10131" ref="A47:U53" headerRowDxfId="633" dataDxfId="631" totalsRowDxfId="629" headerRowBorderDxfId="632" tableBorderDxfId="630" totalsRowBorderDxfId="628">
  <autoFilter ref="A47:U53"/>
  <tableColumns count="21">
    <tableColumn id="1" name="Date" totalsRowFunction="custom" dataDxfId="627" totalsRowDxfId="626">
      <calculatedColumnFormula>A5</calculatedColumnFormula>
      <totalsRowFormula>A12</totalsRowFormula>
    </tableColumn>
    <tableColumn id="2" name="1#" totalsRowFunction="sum" dataDxfId="625" totalsRowDxfId="624"/>
    <tableColumn id="3" name="2#" totalsRowFunction="sum" dataDxfId="623" totalsRowDxfId="622"/>
    <tableColumn id="4" name="4#" totalsRowFunction="sum" dataDxfId="621" totalsRowDxfId="620"/>
    <tableColumn id="5" name="5#" totalsRowFunction="sum" dataDxfId="619" totalsRowDxfId="618"/>
    <tableColumn id="6" name="6#" totalsRowFunction="sum" dataDxfId="617" totalsRowDxfId="616"/>
    <tableColumn id="7" name="7#" totalsRowFunction="sum" dataDxfId="615" totalsRowDxfId="614"/>
    <tableColumn id="8" name="7A#" totalsRowFunction="sum" dataDxfId="613" totalsRowDxfId="612"/>
    <tableColumn id="9" name="8#" totalsRowFunction="sum" dataDxfId="611" totalsRowDxfId="610"/>
    <tableColumn id="10" name="9#" totalsRowFunction="sum" dataDxfId="609" totalsRowDxfId="608"/>
    <tableColumn id="11" name="10#" totalsRowFunction="sum" dataDxfId="607" totalsRowDxfId="606"/>
    <tableColumn id="12" name="11#" totalsRowFunction="sum" dataDxfId="605" totalsRowDxfId="604"/>
    <tableColumn id="13" name="11C#" totalsRowFunction="sum" dataDxfId="603" totalsRowDxfId="602"/>
    <tableColumn id="14" name="12#" totalsRowFunction="sum" dataDxfId="601" totalsRowDxfId="600"/>
    <tableColumn id="15" name="14#" totalsRowFunction="sum" dataDxfId="599" totalsRowDxfId="598"/>
    <tableColumn id="16" name="16#" totalsRowFunction="sum" dataDxfId="597" totalsRowDxfId="596"/>
    <tableColumn id="17" name="17#" totalsRowFunction="sum" dataDxfId="595" totalsRowDxfId="594"/>
    <tableColumn id="18" name="20#" totalsRowFunction="sum" dataDxfId="593" totalsRowDxfId="592"/>
    <tableColumn id="19" name="E&amp;F" totalsRowFunction="sum" dataDxfId="591" totalsRowDxfId="590"/>
    <tableColumn id="20" name="Minpro" totalsRowFunction="sum" dataDxfId="589" totalsRowDxfId="588"/>
    <tableColumn id="21" name="Totals for Days" totalsRowFunction="sum" dataDxfId="587" totalsRowDxfId="586">
      <calculatedColumnFormula>SUM(Table10131[[#This Row],[1'#]:[Minpro]])</calculatedColumnFormula>
    </tableColumn>
  </tableColumns>
  <tableStyleInfo name="TableStyleMedium9" showFirstColumn="0"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table" Target="../tables/table26.xml"/><Relationship Id="rId7" Type="http://schemas.openxmlformats.org/officeDocument/2006/relationships/table" Target="../tables/table30.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1.bin"/><Relationship Id="rId1" Type="http://schemas.openxmlformats.org/officeDocument/2006/relationships/pivotTable" Target="../pivotTables/pivotTable1.xml"/><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comments" Target="../comments5.xml"/><Relationship Id="rId2" Type="http://schemas.openxmlformats.org/officeDocument/2006/relationships/table" Target="../tables/table21.xml"/><Relationship Id="rId1" Type="http://schemas.openxmlformats.org/officeDocument/2006/relationships/vmlDrawing" Target="../drawings/vmlDrawing5.vm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dimension ref="A1:U71"/>
  <sheetViews>
    <sheetView topLeftCell="A55" zoomScaleNormal="100" zoomScaleSheetLayoutView="100" workbookViewId="0">
      <selection activeCell="J67" sqref="J67"/>
    </sheetView>
  </sheetViews>
  <sheetFormatPr defaultRowHeight="12.75"/>
  <cols>
    <col min="1" max="1" width="15.7109375" customWidth="1"/>
    <col min="2" max="10" width="13.7109375" customWidth="1"/>
    <col min="11" max="21" width="8.85546875" customWidth="1"/>
  </cols>
  <sheetData>
    <row r="1" spans="1:9" ht="26.25">
      <c r="A1" s="143">
        <v>41302</v>
      </c>
      <c r="B1" s="143"/>
      <c r="C1" s="143"/>
      <c r="D1" s="143"/>
      <c r="E1" s="143"/>
      <c r="F1" s="143"/>
      <c r="G1" s="143"/>
      <c r="H1" s="143"/>
    </row>
    <row r="2" spans="1:9" ht="13.5" thickBot="1"/>
    <row r="3" spans="1:9" ht="21" thickBot="1">
      <c r="A3" s="147" t="s">
        <v>2</v>
      </c>
      <c r="B3" s="148"/>
      <c r="C3" s="148"/>
      <c r="D3" s="148"/>
      <c r="E3" s="148"/>
      <c r="F3" s="148"/>
      <c r="G3" s="148"/>
      <c r="H3" s="149"/>
    </row>
    <row r="4" spans="1:9" s="1" customFormat="1" ht="80.25" customHeight="1" thickBot="1">
      <c r="A4" s="40" t="s">
        <v>0</v>
      </c>
      <c r="B4" s="41" t="s">
        <v>1</v>
      </c>
      <c r="C4" s="41" t="s">
        <v>26</v>
      </c>
      <c r="D4" s="41" t="s">
        <v>27</v>
      </c>
      <c r="E4" s="41" t="s">
        <v>28</v>
      </c>
      <c r="F4" s="41" t="s">
        <v>29</v>
      </c>
      <c r="G4" s="41" t="s">
        <v>30</v>
      </c>
      <c r="H4" s="42" t="s">
        <v>31</v>
      </c>
    </row>
    <row r="5" spans="1:9">
      <c r="A5" s="100">
        <v>41295</v>
      </c>
      <c r="B5" s="10" t="s">
        <v>14</v>
      </c>
      <c r="C5" s="10">
        <v>44</v>
      </c>
      <c r="D5" s="10">
        <v>6</v>
      </c>
      <c r="E5" s="10">
        <v>3</v>
      </c>
      <c r="F5" s="44">
        <f>Table3[[#This Row],[Quantity Fitted at Shaft/Area]]/Table3[[#This Row],[Quantity Paraded]]</f>
        <v>0.5</v>
      </c>
      <c r="G5" s="10">
        <v>7</v>
      </c>
      <c r="H5" s="12">
        <f>Table3[[#This Row],[Quantity Fitted at Shaft/Area]]+Table3[[#This Row],[Quantity Fitted at NC Office]]</f>
        <v>10</v>
      </c>
    </row>
    <row r="6" spans="1:9">
      <c r="A6" s="47">
        <f>A5</f>
        <v>41295</v>
      </c>
      <c r="B6" s="46" t="s">
        <v>13</v>
      </c>
      <c r="C6" s="46">
        <v>46</v>
      </c>
      <c r="D6" s="46">
        <v>24</v>
      </c>
      <c r="E6" s="46">
        <v>12</v>
      </c>
      <c r="F6" s="48">
        <f>Table3[[#This Row],[Quantity Fitted at Shaft/Area]]/Table3[[#This Row],[Quantity Paraded]]</f>
        <v>0.5</v>
      </c>
      <c r="G6" s="46"/>
      <c r="H6" s="12">
        <f>Table3[[#This Row],[Quantity Fitted at Shaft/Area]]+Table3[[#This Row],[Quantity Fitted at NC Office]]</f>
        <v>12</v>
      </c>
    </row>
    <row r="7" spans="1:9">
      <c r="A7" s="52">
        <f>A5+1</f>
        <v>41296</v>
      </c>
      <c r="B7" s="53" t="s">
        <v>21</v>
      </c>
      <c r="C7" s="53">
        <v>66</v>
      </c>
      <c r="D7" s="53">
        <v>15</v>
      </c>
      <c r="E7" s="53">
        <v>3</v>
      </c>
      <c r="F7" s="54">
        <f>Table3[[#This Row],[Quantity Fitted at Shaft/Area]]/Table3[[#This Row],[Quantity Paraded]]</f>
        <v>0.2</v>
      </c>
      <c r="G7" s="53">
        <v>9</v>
      </c>
      <c r="H7" s="7">
        <f>Table3[[#This Row],[Quantity Fitted at Shaft/Area]]+Table3[[#This Row],[Quantity Fitted at NC Office]]</f>
        <v>12</v>
      </c>
    </row>
    <row r="8" spans="1:9">
      <c r="A8" s="17">
        <f>A5+2</f>
        <v>41297</v>
      </c>
      <c r="B8" s="9" t="s">
        <v>11</v>
      </c>
      <c r="C8" s="6">
        <v>47</v>
      </c>
      <c r="D8" s="6">
        <v>31</v>
      </c>
      <c r="E8" s="6">
        <v>18</v>
      </c>
      <c r="F8" s="44">
        <f>Table3[[#This Row],[Quantity Fitted at Shaft/Area]]/Table3[[#This Row],[Quantity Paraded]]</f>
        <v>0.58064516129032262</v>
      </c>
      <c r="G8" s="6">
        <v>5</v>
      </c>
      <c r="H8" s="7">
        <f>Table3[[#This Row],[Quantity Fitted at Shaft/Area]]+Table3[[#This Row],[Quantity Fitted at NC Office]]</f>
        <v>23</v>
      </c>
    </row>
    <row r="9" spans="1:9">
      <c r="A9" s="49">
        <f>A5+2</f>
        <v>41297</v>
      </c>
      <c r="B9" s="50" t="s">
        <v>15</v>
      </c>
      <c r="C9" s="50">
        <v>26</v>
      </c>
      <c r="D9" s="50">
        <v>17</v>
      </c>
      <c r="E9" s="50">
        <v>8</v>
      </c>
      <c r="F9" s="48">
        <f>Table3[[#This Row],[Quantity Fitted at Shaft/Area]]/Table3[[#This Row],[Quantity Paraded]]</f>
        <v>0.47058823529411764</v>
      </c>
      <c r="G9" s="50"/>
      <c r="H9" s="14">
        <f>Table3[[#This Row],[Quantity Fitted at Shaft/Area]]+Table3[[#This Row],[Quantity Fitted at NC Office]]</f>
        <v>8</v>
      </c>
    </row>
    <row r="10" spans="1:9">
      <c r="A10" s="52">
        <f>A5+3</f>
        <v>41298</v>
      </c>
      <c r="B10" s="53" t="s">
        <v>9</v>
      </c>
      <c r="C10" s="53">
        <v>25</v>
      </c>
      <c r="D10" s="53">
        <v>19</v>
      </c>
      <c r="E10" s="53">
        <v>8</v>
      </c>
      <c r="F10" s="54">
        <f>Table3[[#This Row],[Quantity Fitted at Shaft/Area]]/Table3[[#This Row],[Quantity Paraded]]</f>
        <v>0.42105263157894735</v>
      </c>
      <c r="G10" s="53">
        <v>7</v>
      </c>
      <c r="H10" s="7">
        <f>Table3[[#This Row],[Quantity Fitted at Shaft/Area]]+Table3[[#This Row],[Quantity Fitted at NC Office]]</f>
        <v>15</v>
      </c>
    </row>
    <row r="11" spans="1:9">
      <c r="A11" s="17">
        <f>A5+3</f>
        <v>41298</v>
      </c>
      <c r="B11" s="9" t="s">
        <v>6</v>
      </c>
      <c r="C11" s="9">
        <v>48</v>
      </c>
      <c r="D11" s="9">
        <v>38</v>
      </c>
      <c r="E11" s="9">
        <v>12</v>
      </c>
      <c r="F11" s="44">
        <f>Table3[[#This Row],[Quantity Fitted at Shaft/Area]]/Table3[[#This Row],[Quantity Paraded]]</f>
        <v>0.31578947368421051</v>
      </c>
      <c r="G11" s="9"/>
      <c r="H11" s="14">
        <f>Table3[[#This Row],[Quantity Fitted at Shaft/Area]]+Table3[[#This Row],[Quantity Fitted at NC Office]]</f>
        <v>12</v>
      </c>
    </row>
    <row r="12" spans="1:9">
      <c r="A12" s="18">
        <f>A5+4</f>
        <v>41299</v>
      </c>
      <c r="B12" s="8" t="s">
        <v>4</v>
      </c>
      <c r="C12" s="8">
        <v>28</v>
      </c>
      <c r="D12" s="8">
        <v>13</v>
      </c>
      <c r="E12" s="8">
        <v>10</v>
      </c>
      <c r="F12" s="13">
        <f>Table3[[#This Row],[Quantity Fitted at Shaft/Area]]/Table3[[#This Row],[Quantity Paraded]]</f>
        <v>0.76923076923076927</v>
      </c>
      <c r="G12" s="8">
        <v>4</v>
      </c>
      <c r="H12" s="27">
        <f>Table3[[#This Row],[Quantity Fitted at Shaft/Area]]+Table3[[#This Row],[Quantity Fitted at NC Office]]</f>
        <v>14</v>
      </c>
    </row>
    <row r="13" spans="1:9" ht="13.5" thickBot="1">
      <c r="A13" s="51">
        <f>A5+4</f>
        <v>41299</v>
      </c>
      <c r="B13" s="50" t="s">
        <v>17</v>
      </c>
      <c r="C13" s="50">
        <v>28</v>
      </c>
      <c r="D13" s="50">
        <v>14</v>
      </c>
      <c r="E13" s="50">
        <v>9</v>
      </c>
      <c r="F13" s="48">
        <f>Table3[[#This Row],[Quantity Fitted at Shaft/Area]]/Table3[[#This Row],[Quantity Paraded]]</f>
        <v>0.6428571428571429</v>
      </c>
      <c r="G13" s="50"/>
      <c r="H13" s="14">
        <f>Table3[[#This Row],[Quantity Fitted at Shaft/Area]]+Table3[[#This Row],[Quantity Fitted at NC Office]]</f>
        <v>9</v>
      </c>
    </row>
    <row r="14" spans="1:9" s="92" customFormat="1" ht="13.5" thickBot="1">
      <c r="A14" s="88" t="s">
        <v>32</v>
      </c>
      <c r="B14" s="89"/>
      <c r="C14" s="89">
        <f>SUM(C5:C13)</f>
        <v>358</v>
      </c>
      <c r="D14" s="89">
        <f>SUM(D5:D13)</f>
        <v>177</v>
      </c>
      <c r="E14" s="89">
        <f>SUM(E5:E13)</f>
        <v>83</v>
      </c>
      <c r="F14" s="91">
        <f>AVERAGE(F5:F13)</f>
        <v>0.48890704599283452</v>
      </c>
      <c r="G14" s="89">
        <f>SUM(G5:G13)</f>
        <v>32</v>
      </c>
      <c r="H14" s="89">
        <f>SUM(H5:H13)</f>
        <v>115</v>
      </c>
    </row>
    <row r="16" spans="1:9" ht="26.25">
      <c r="A16" s="142">
        <f>A1</f>
        <v>41302</v>
      </c>
      <c r="B16" s="142"/>
      <c r="C16" s="142"/>
      <c r="D16" s="142"/>
      <c r="E16" s="142"/>
      <c r="F16" s="142"/>
      <c r="G16" s="142"/>
      <c r="H16" s="142"/>
      <c r="I16" s="142"/>
    </row>
    <row r="17" spans="1:9" ht="13.5" thickBot="1"/>
    <row r="18" spans="1:9" ht="21" thickBot="1">
      <c r="A18" s="139" t="s">
        <v>39</v>
      </c>
      <c r="B18" s="140"/>
      <c r="C18" s="140"/>
      <c r="D18" s="140"/>
      <c r="E18" s="140"/>
      <c r="F18" s="140"/>
      <c r="G18" s="140"/>
      <c r="H18" s="140"/>
      <c r="I18" s="141"/>
    </row>
    <row r="19" spans="1:9" s="26" customFormat="1" ht="80.25" customHeight="1" thickBot="1">
      <c r="A19" s="40" t="s">
        <v>0</v>
      </c>
      <c r="B19" s="41" t="s">
        <v>1</v>
      </c>
      <c r="C19" s="41" t="s">
        <v>33</v>
      </c>
      <c r="D19" s="41" t="s">
        <v>34</v>
      </c>
      <c r="E19" s="41" t="s">
        <v>35</v>
      </c>
      <c r="F19" s="41" t="s">
        <v>36</v>
      </c>
      <c r="G19" s="41" t="s">
        <v>37</v>
      </c>
      <c r="H19" s="41" t="s">
        <v>38</v>
      </c>
      <c r="I19" s="42" t="s">
        <v>23</v>
      </c>
    </row>
    <row r="20" spans="1:9" s="4" customFormat="1">
      <c r="A20" s="37">
        <f t="shared" ref="A20:A29" si="0">A5</f>
        <v>41295</v>
      </c>
      <c r="B20" s="38" t="s">
        <v>14</v>
      </c>
      <c r="C20" s="38">
        <v>0</v>
      </c>
      <c r="D20" s="38">
        <v>31</v>
      </c>
      <c r="E20" s="38">
        <v>3</v>
      </c>
      <c r="F20" s="38">
        <v>0</v>
      </c>
      <c r="G20" s="38">
        <v>4</v>
      </c>
      <c r="H20" s="38">
        <v>0</v>
      </c>
      <c r="I20" s="23">
        <f>Table7[[#This Row],[Leave]]+Table7[[#This Row],[Discharged]]+Table7[[#This Row],[Transferred to other Shaft / Area]]+Table7[[#This Row],[Sick Leave]]+Table7[[#This Row],[Training]]+Table7[[#This Row],[Other]]</f>
        <v>38</v>
      </c>
    </row>
    <row r="21" spans="1:9" s="4" customFormat="1">
      <c r="A21" s="57">
        <f t="shared" si="0"/>
        <v>41295</v>
      </c>
      <c r="B21" s="58" t="s">
        <v>13</v>
      </c>
      <c r="C21" s="58">
        <v>0</v>
      </c>
      <c r="D21" s="58">
        <v>5</v>
      </c>
      <c r="E21" s="58">
        <v>8</v>
      </c>
      <c r="F21" s="58">
        <v>0</v>
      </c>
      <c r="G21" s="58">
        <v>9</v>
      </c>
      <c r="H21" s="58">
        <v>0</v>
      </c>
      <c r="I21" s="23">
        <f>Table7[[#This Row],[Leave]]+Table7[[#This Row],[Discharged]]+Table7[[#This Row],[Transferred to other Shaft / Area]]+Table7[[#This Row],[Sick Leave]]+Table7[[#This Row],[Training]]+Table7[[#This Row],[Other]]</f>
        <v>22</v>
      </c>
    </row>
    <row r="22" spans="1:9" s="4" customFormat="1">
      <c r="A22" s="55">
        <f t="shared" si="0"/>
        <v>41296</v>
      </c>
      <c r="B22" s="56" t="s">
        <v>21</v>
      </c>
      <c r="C22" s="56">
        <v>0</v>
      </c>
      <c r="D22" s="56">
        <v>21</v>
      </c>
      <c r="E22" s="56">
        <v>10</v>
      </c>
      <c r="F22" s="56">
        <v>0</v>
      </c>
      <c r="G22" s="56">
        <v>16</v>
      </c>
      <c r="H22" s="56">
        <v>3</v>
      </c>
      <c r="I22" s="23">
        <f>Table7[[#This Row],[Leave]]+Table7[[#This Row],[Discharged]]+Table7[[#This Row],[Transferred to other Shaft / Area]]+Table7[[#This Row],[Sick Leave]]+Table7[[#This Row],[Training]]+Table7[[#This Row],[Other]]</f>
        <v>50</v>
      </c>
    </row>
    <row r="23" spans="1:9" s="4" customFormat="1">
      <c r="A23" s="16">
        <f t="shared" si="0"/>
        <v>41297</v>
      </c>
      <c r="B23" s="22" t="s">
        <v>11</v>
      </c>
      <c r="C23" s="22">
        <v>0</v>
      </c>
      <c r="D23" s="22">
        <v>10</v>
      </c>
      <c r="E23" s="22">
        <v>2</v>
      </c>
      <c r="F23" s="22">
        <v>0</v>
      </c>
      <c r="G23" s="22">
        <v>2</v>
      </c>
      <c r="H23" s="22">
        <v>2</v>
      </c>
      <c r="I23" s="23">
        <f>Table7[[#This Row],[Leave]]+Table7[[#This Row],[Discharged]]+Table7[[#This Row],[Transferred to other Shaft / Area]]+Table7[[#This Row],[Sick Leave]]+Table7[[#This Row],[Training]]+Table7[[#This Row],[Other]]</f>
        <v>16</v>
      </c>
    </row>
    <row r="24" spans="1:9" s="4" customFormat="1">
      <c r="A24" s="57">
        <f t="shared" si="0"/>
        <v>41297</v>
      </c>
      <c r="B24" s="58" t="s">
        <v>15</v>
      </c>
      <c r="C24" s="58">
        <v>2</v>
      </c>
      <c r="D24" s="58">
        <v>4</v>
      </c>
      <c r="E24" s="58">
        <v>1</v>
      </c>
      <c r="F24" s="58">
        <v>0</v>
      </c>
      <c r="G24" s="58">
        <v>0</v>
      </c>
      <c r="H24" s="58">
        <v>2</v>
      </c>
      <c r="I24" s="23">
        <f>Table7[[#This Row],[Leave]]+Table7[[#This Row],[Discharged]]+Table7[[#This Row],[Transferred to other Shaft / Area]]+Table7[[#This Row],[Sick Leave]]+Table7[[#This Row],[Training]]+Table7[[#This Row],[Other]]</f>
        <v>9</v>
      </c>
    </row>
    <row r="25" spans="1:9" s="4" customFormat="1">
      <c r="A25" s="55">
        <f t="shared" si="0"/>
        <v>41298</v>
      </c>
      <c r="B25" s="56" t="s">
        <v>9</v>
      </c>
      <c r="C25" s="56">
        <v>0</v>
      </c>
      <c r="D25" s="56">
        <v>1</v>
      </c>
      <c r="E25" s="56">
        <v>3</v>
      </c>
      <c r="F25" s="56">
        <v>0</v>
      </c>
      <c r="G25" s="56">
        <v>0</v>
      </c>
      <c r="H25" s="56">
        <v>2</v>
      </c>
      <c r="I25" s="23">
        <f>Table7[[#This Row],[Leave]]+Table7[[#This Row],[Discharged]]+Table7[[#This Row],[Transferred to other Shaft / Area]]+Table7[[#This Row],[Sick Leave]]+Table7[[#This Row],[Training]]+Table7[[#This Row],[Other]]</f>
        <v>6</v>
      </c>
    </row>
    <row r="26" spans="1:9" s="4" customFormat="1">
      <c r="A26" s="16">
        <f t="shared" si="0"/>
        <v>41298</v>
      </c>
      <c r="B26" s="22" t="s">
        <v>6</v>
      </c>
      <c r="C26" s="22">
        <v>0</v>
      </c>
      <c r="D26" s="22">
        <v>8</v>
      </c>
      <c r="E26" s="22">
        <v>0</v>
      </c>
      <c r="F26" s="22">
        <v>0</v>
      </c>
      <c r="G26" s="22">
        <v>0</v>
      </c>
      <c r="H26" s="22">
        <v>2</v>
      </c>
      <c r="I26" s="23">
        <f>Table7[[#This Row],[Leave]]+Table7[[#This Row],[Discharged]]+Table7[[#This Row],[Transferred to other Shaft / Area]]+Table7[[#This Row],[Sick Leave]]+Table7[[#This Row],[Training]]+Table7[[#This Row],[Other]]</f>
        <v>10</v>
      </c>
    </row>
    <row r="27" spans="1:9" s="4" customFormat="1">
      <c r="A27" s="24">
        <f t="shared" si="0"/>
        <v>41299</v>
      </c>
      <c r="B27" s="25" t="s">
        <v>4</v>
      </c>
      <c r="C27" s="25">
        <v>0</v>
      </c>
      <c r="D27" s="25">
        <v>8</v>
      </c>
      <c r="E27" s="25">
        <v>0</v>
      </c>
      <c r="F27" s="25">
        <v>0</v>
      </c>
      <c r="G27" s="25">
        <v>7</v>
      </c>
      <c r="H27" s="25">
        <v>0</v>
      </c>
      <c r="I27" s="23">
        <f>Table7[[#This Row],[Leave]]+Table7[[#This Row],[Discharged]]+Table7[[#This Row],[Transferred to other Shaft / Area]]+Table7[[#This Row],[Sick Leave]]+Table7[[#This Row],[Training]]+Table7[[#This Row],[Other]]</f>
        <v>15</v>
      </c>
    </row>
    <row r="28" spans="1:9" s="4" customFormat="1" ht="13.5" thickBot="1">
      <c r="A28" s="57">
        <f t="shared" si="0"/>
        <v>41299</v>
      </c>
      <c r="B28" s="58" t="s">
        <v>17</v>
      </c>
      <c r="C28" s="58">
        <v>0</v>
      </c>
      <c r="D28" s="58">
        <v>12</v>
      </c>
      <c r="E28" s="58">
        <v>0</v>
      </c>
      <c r="F28" s="58">
        <v>0</v>
      </c>
      <c r="G28" s="58">
        <v>0</v>
      </c>
      <c r="H28" s="58">
        <v>2</v>
      </c>
      <c r="I28" s="23">
        <f>Table7[[#This Row],[Leave]]+Table7[[#This Row],[Discharged]]+Table7[[#This Row],[Transferred to other Shaft / Area]]+Table7[[#This Row],[Sick Leave]]+Table7[[#This Row],[Training]]+Table7[[#This Row],[Other]]</f>
        <v>14</v>
      </c>
    </row>
    <row r="29" spans="1:9" s="90" customFormat="1" ht="13.5" thickBot="1">
      <c r="A29" s="88" t="str">
        <f t="shared" si="0"/>
        <v>Week 1 Total</v>
      </c>
      <c r="B29" s="89"/>
      <c r="C29" s="89">
        <f t="shared" ref="C29:I29" si="1">SUM(C20:C28)</f>
        <v>2</v>
      </c>
      <c r="D29" s="89">
        <f t="shared" si="1"/>
        <v>100</v>
      </c>
      <c r="E29" s="89">
        <f t="shared" si="1"/>
        <v>27</v>
      </c>
      <c r="F29" s="89">
        <f t="shared" si="1"/>
        <v>0</v>
      </c>
      <c r="G29" s="89">
        <f t="shared" si="1"/>
        <v>38</v>
      </c>
      <c r="H29" s="89">
        <f t="shared" si="1"/>
        <v>13</v>
      </c>
      <c r="I29" s="89">
        <f t="shared" si="1"/>
        <v>180</v>
      </c>
    </row>
    <row r="30" spans="1:9" ht="26.25">
      <c r="A30" s="134">
        <f>A1</f>
        <v>41302</v>
      </c>
      <c r="B30" s="134"/>
      <c r="C30" s="134"/>
      <c r="D30" s="134"/>
      <c r="E30" s="134"/>
      <c r="F30" s="45"/>
      <c r="G30" s="45"/>
      <c r="H30" s="45"/>
      <c r="I30" s="45"/>
    </row>
    <row r="31" spans="1:9" ht="13.5" thickBot="1"/>
    <row r="32" spans="1:9" ht="21" thickBot="1">
      <c r="A32" s="144" t="s">
        <v>8</v>
      </c>
      <c r="B32" s="145"/>
      <c r="C32" s="145"/>
      <c r="D32" s="145"/>
      <c r="E32" s="146"/>
    </row>
    <row r="33" spans="1:5" s="1" customFormat="1" ht="93" customHeight="1" thickBot="1">
      <c r="A33" s="34" t="s">
        <v>0</v>
      </c>
      <c r="B33" s="35" t="s">
        <v>1</v>
      </c>
      <c r="C33" s="35" t="s">
        <v>40</v>
      </c>
      <c r="D33" s="35" t="s">
        <v>42</v>
      </c>
      <c r="E33" s="36" t="s">
        <v>41</v>
      </c>
    </row>
    <row r="34" spans="1:5" s="4" customFormat="1">
      <c r="A34" s="32">
        <f>A5</f>
        <v>41295</v>
      </c>
      <c r="B34" s="33" t="s">
        <v>14</v>
      </c>
      <c r="C34" s="33">
        <v>2</v>
      </c>
      <c r="D34" s="33">
        <v>0</v>
      </c>
      <c r="E34" s="33">
        <v>105</v>
      </c>
    </row>
    <row r="35" spans="1:5" s="4" customFormat="1">
      <c r="A35" s="28">
        <f>A5</f>
        <v>41295</v>
      </c>
      <c r="B35" s="19" t="s">
        <v>22</v>
      </c>
      <c r="C35" s="19">
        <v>2</v>
      </c>
      <c r="D35" s="19">
        <v>3</v>
      </c>
      <c r="E35" s="19"/>
    </row>
    <row r="36" spans="1:5" s="4" customFormat="1">
      <c r="A36" s="30">
        <f>A7</f>
        <v>41296</v>
      </c>
      <c r="B36" s="20" t="s">
        <v>18</v>
      </c>
      <c r="C36" s="20">
        <v>12</v>
      </c>
      <c r="D36" s="20">
        <v>4</v>
      </c>
      <c r="E36" s="31">
        <v>83</v>
      </c>
    </row>
    <row r="37" spans="1:5" s="4" customFormat="1">
      <c r="A37" s="30">
        <f>A7</f>
        <v>41296</v>
      </c>
      <c r="B37" s="20" t="s">
        <v>21</v>
      </c>
      <c r="C37" s="20">
        <v>3</v>
      </c>
      <c r="D37" s="20">
        <v>3</v>
      </c>
      <c r="E37" s="31"/>
    </row>
    <row r="38" spans="1:5" s="4" customFormat="1">
      <c r="A38" s="28">
        <f>A8</f>
        <v>41297</v>
      </c>
      <c r="B38" s="19" t="s">
        <v>15</v>
      </c>
      <c r="C38" s="19">
        <v>32</v>
      </c>
      <c r="D38" s="19">
        <v>6</v>
      </c>
      <c r="E38" s="29">
        <v>74</v>
      </c>
    </row>
    <row r="39" spans="1:5" s="4" customFormat="1">
      <c r="A39" s="28">
        <f>A8</f>
        <v>41297</v>
      </c>
      <c r="B39" s="19" t="s">
        <v>6</v>
      </c>
      <c r="C39" s="19">
        <v>75</v>
      </c>
      <c r="D39" s="19">
        <v>8</v>
      </c>
      <c r="E39" s="29"/>
    </row>
    <row r="40" spans="1:5" s="4" customFormat="1">
      <c r="A40" s="30">
        <f>A10</f>
        <v>41298</v>
      </c>
      <c r="B40" s="20" t="s">
        <v>11</v>
      </c>
      <c r="C40" s="20">
        <v>19</v>
      </c>
      <c r="D40" s="20">
        <v>6</v>
      </c>
      <c r="E40" s="31">
        <v>132</v>
      </c>
    </row>
    <row r="41" spans="1:5" s="4" customFormat="1">
      <c r="A41" s="30">
        <f>A10</f>
        <v>41298</v>
      </c>
      <c r="B41" s="20" t="s">
        <v>10</v>
      </c>
      <c r="C41" s="20">
        <v>1</v>
      </c>
      <c r="D41" s="20">
        <v>0</v>
      </c>
      <c r="E41" s="31"/>
    </row>
    <row r="42" spans="1:5" s="4" customFormat="1">
      <c r="A42" s="30">
        <f>A10</f>
        <v>41298</v>
      </c>
      <c r="B42" s="20" t="s">
        <v>20</v>
      </c>
      <c r="C42" s="20">
        <v>1</v>
      </c>
      <c r="D42" s="20">
        <v>0</v>
      </c>
      <c r="E42" s="31"/>
    </row>
    <row r="43" spans="1:5" s="4" customFormat="1">
      <c r="A43" s="30">
        <f>A10</f>
        <v>41298</v>
      </c>
      <c r="B43" s="20" t="s">
        <v>19</v>
      </c>
      <c r="C43" s="20">
        <v>2</v>
      </c>
      <c r="D43" s="20">
        <v>3</v>
      </c>
      <c r="E43" s="31"/>
    </row>
    <row r="44" spans="1:5" s="4" customFormat="1">
      <c r="A44" s="28">
        <f>A12</f>
        <v>41299</v>
      </c>
      <c r="B44" s="19" t="s">
        <v>13</v>
      </c>
      <c r="C44" s="19">
        <v>98</v>
      </c>
      <c r="D44" s="19">
        <v>12</v>
      </c>
      <c r="E44" s="29">
        <v>82</v>
      </c>
    </row>
    <row r="45" spans="1:5" s="4" customFormat="1">
      <c r="A45" s="28">
        <f>A12</f>
        <v>41299</v>
      </c>
      <c r="B45" s="19" t="s">
        <v>4</v>
      </c>
      <c r="C45" s="19">
        <v>24</v>
      </c>
      <c r="D45" s="19">
        <v>4</v>
      </c>
      <c r="E45" s="29"/>
    </row>
    <row r="46" spans="1:5" s="4" customFormat="1" ht="13.5" thickBot="1">
      <c r="A46" s="28">
        <f>A12</f>
        <v>41299</v>
      </c>
      <c r="B46" s="19" t="s">
        <v>17</v>
      </c>
      <c r="C46" s="19">
        <v>65</v>
      </c>
      <c r="D46" s="19">
        <v>5</v>
      </c>
      <c r="E46" s="29"/>
    </row>
    <row r="47" spans="1:5" s="90" customFormat="1" ht="13.5" thickBot="1">
      <c r="A47" s="88" t="str">
        <f>A14</f>
        <v>Week 1 Total</v>
      </c>
      <c r="B47" s="89"/>
      <c r="C47" s="89">
        <f>SUM(C34:C46)</f>
        <v>336</v>
      </c>
      <c r="D47" s="89">
        <f>SUM(D34:D46)</f>
        <v>54</v>
      </c>
      <c r="E47" s="89">
        <f>SUM(E34:E46)</f>
        <v>476</v>
      </c>
    </row>
    <row r="48" spans="1:5" s="4" customFormat="1">
      <c r="A48"/>
      <c r="B48"/>
      <c r="C48"/>
      <c r="D48"/>
      <c r="E48"/>
    </row>
    <row r="49" spans="1:21" ht="26.25">
      <c r="A49" s="142">
        <f>A1</f>
        <v>41302</v>
      </c>
      <c r="B49" s="142"/>
      <c r="C49" s="142"/>
      <c r="D49" s="142"/>
      <c r="E49" s="142"/>
      <c r="F49" s="142"/>
      <c r="G49" s="142"/>
      <c r="H49" s="142"/>
      <c r="I49" s="142"/>
      <c r="J49" s="142"/>
      <c r="K49" s="142"/>
      <c r="L49" s="142"/>
      <c r="M49" s="142"/>
      <c r="N49" s="142"/>
      <c r="O49" s="142"/>
      <c r="P49" s="142"/>
      <c r="Q49" s="142"/>
      <c r="R49" s="142"/>
      <c r="S49" s="142"/>
      <c r="T49" s="142"/>
      <c r="U49" s="142"/>
    </row>
    <row r="50" spans="1:21" ht="13.5" thickBot="1"/>
    <row r="51" spans="1:21" ht="21" thickBot="1">
      <c r="A51" s="139" t="s">
        <v>12</v>
      </c>
      <c r="B51" s="140"/>
      <c r="C51" s="140"/>
      <c r="D51" s="140"/>
      <c r="E51" s="140"/>
      <c r="F51" s="140"/>
      <c r="G51" s="140"/>
      <c r="H51" s="140"/>
      <c r="I51" s="140"/>
      <c r="J51" s="140"/>
      <c r="K51" s="140"/>
      <c r="L51" s="140"/>
      <c r="M51" s="140"/>
      <c r="N51" s="140"/>
      <c r="O51" s="140"/>
      <c r="P51" s="140"/>
      <c r="Q51" s="140"/>
      <c r="R51" s="140"/>
      <c r="S51" s="140"/>
      <c r="T51" s="140"/>
      <c r="U51" s="141"/>
    </row>
    <row r="52" spans="1:21" s="1" customFormat="1" ht="80.25" customHeight="1" thickBot="1">
      <c r="A52" s="40" t="s">
        <v>0</v>
      </c>
      <c r="B52" s="41" t="s">
        <v>13</v>
      </c>
      <c r="C52" s="41" t="s">
        <v>14</v>
      </c>
      <c r="D52" s="41" t="s">
        <v>15</v>
      </c>
      <c r="E52" s="41" t="s">
        <v>16</v>
      </c>
      <c r="F52" s="41" t="s">
        <v>9</v>
      </c>
      <c r="G52" s="41" t="s">
        <v>10</v>
      </c>
      <c r="H52" s="41" t="s">
        <v>5</v>
      </c>
      <c r="I52" s="41" t="s">
        <v>3</v>
      </c>
      <c r="J52" s="41" t="s">
        <v>4</v>
      </c>
      <c r="K52" s="41" t="s">
        <v>17</v>
      </c>
      <c r="L52" s="41" t="s">
        <v>7</v>
      </c>
      <c r="M52" s="41" t="s">
        <v>11</v>
      </c>
      <c r="N52" s="41" t="s">
        <v>18</v>
      </c>
      <c r="O52" s="41" t="s">
        <v>6</v>
      </c>
      <c r="P52" s="41" t="s">
        <v>19</v>
      </c>
      <c r="Q52" s="41" t="s">
        <v>20</v>
      </c>
      <c r="R52" s="41" t="s">
        <v>21</v>
      </c>
      <c r="S52" s="41" t="s">
        <v>22</v>
      </c>
      <c r="T52" s="41" t="s">
        <v>43</v>
      </c>
      <c r="U52" s="42" t="s">
        <v>44</v>
      </c>
    </row>
    <row r="53" spans="1:21" s="21" customFormat="1">
      <c r="A53" s="37">
        <f>A5</f>
        <v>41295</v>
      </c>
      <c r="B53" s="38">
        <v>4</v>
      </c>
      <c r="C53" s="38">
        <v>0</v>
      </c>
      <c r="D53" s="38">
        <v>1</v>
      </c>
      <c r="E53" s="38">
        <v>0</v>
      </c>
      <c r="F53" s="38">
        <v>5</v>
      </c>
      <c r="G53" s="38">
        <v>0</v>
      </c>
      <c r="H53" s="38">
        <v>0</v>
      </c>
      <c r="I53" s="38">
        <v>0</v>
      </c>
      <c r="J53" s="38">
        <v>0</v>
      </c>
      <c r="K53" s="38">
        <v>2</v>
      </c>
      <c r="L53" s="38">
        <v>3</v>
      </c>
      <c r="M53" s="38">
        <v>7</v>
      </c>
      <c r="N53" s="38">
        <v>4</v>
      </c>
      <c r="O53" s="38">
        <v>1</v>
      </c>
      <c r="P53" s="38">
        <v>5</v>
      </c>
      <c r="Q53" s="38">
        <v>0</v>
      </c>
      <c r="R53" s="38">
        <v>7</v>
      </c>
      <c r="S53" s="38">
        <v>0</v>
      </c>
      <c r="T53" s="38">
        <v>10</v>
      </c>
      <c r="U53" s="39">
        <f>SUM(Table10[[#This Row],[1'#]:[Minpro]])</f>
        <v>49</v>
      </c>
    </row>
    <row r="54" spans="1:21" s="21" customFormat="1">
      <c r="A54" s="16">
        <f>A7</f>
        <v>41296</v>
      </c>
      <c r="B54" s="22">
        <v>0</v>
      </c>
      <c r="C54" s="22">
        <v>0</v>
      </c>
      <c r="D54" s="22">
        <v>0</v>
      </c>
      <c r="E54" s="22">
        <v>0</v>
      </c>
      <c r="F54" s="22">
        <v>0</v>
      </c>
      <c r="G54" s="22">
        <v>0</v>
      </c>
      <c r="H54" s="22">
        <v>0</v>
      </c>
      <c r="I54" s="22">
        <v>0</v>
      </c>
      <c r="J54" s="22">
        <v>0</v>
      </c>
      <c r="K54" s="22">
        <v>0</v>
      </c>
      <c r="L54" s="22">
        <v>0</v>
      </c>
      <c r="M54" s="22">
        <v>0</v>
      </c>
      <c r="N54" s="22">
        <v>0</v>
      </c>
      <c r="O54" s="22">
        <v>0</v>
      </c>
      <c r="P54" s="22">
        <v>0</v>
      </c>
      <c r="Q54" s="22">
        <v>0</v>
      </c>
      <c r="R54" s="22">
        <v>0</v>
      </c>
      <c r="S54" s="22">
        <v>0</v>
      </c>
      <c r="T54" s="22">
        <v>0</v>
      </c>
      <c r="U54" s="23">
        <f>SUM(Table10[[#This Row],[1'#]:[Minpro]])</f>
        <v>0</v>
      </c>
    </row>
    <row r="55" spans="1:21" s="21" customFormat="1">
      <c r="A55" s="16">
        <f>A8</f>
        <v>41297</v>
      </c>
      <c r="B55" s="22">
        <v>0</v>
      </c>
      <c r="C55" s="22">
        <v>1</v>
      </c>
      <c r="D55" s="22">
        <v>2</v>
      </c>
      <c r="E55" s="22">
        <v>0</v>
      </c>
      <c r="F55" s="22">
        <v>1</v>
      </c>
      <c r="G55" s="22">
        <v>0</v>
      </c>
      <c r="H55" s="22">
        <v>0</v>
      </c>
      <c r="I55" s="22">
        <v>0</v>
      </c>
      <c r="J55" s="22">
        <v>0</v>
      </c>
      <c r="K55" s="22">
        <v>1</v>
      </c>
      <c r="L55" s="22">
        <v>1</v>
      </c>
      <c r="M55" s="22">
        <v>1</v>
      </c>
      <c r="N55" s="22">
        <v>0</v>
      </c>
      <c r="O55" s="22">
        <v>2</v>
      </c>
      <c r="P55" s="22">
        <v>1</v>
      </c>
      <c r="Q55" s="22">
        <v>0</v>
      </c>
      <c r="R55" s="22">
        <v>0</v>
      </c>
      <c r="S55" s="22">
        <v>0</v>
      </c>
      <c r="T55" s="22">
        <v>4</v>
      </c>
      <c r="U55" s="23">
        <f>SUM(Table10[[#This Row],[1'#]:[Minpro]])</f>
        <v>14</v>
      </c>
    </row>
    <row r="56" spans="1:21" s="21" customFormat="1">
      <c r="A56" s="16">
        <f>A10</f>
        <v>41298</v>
      </c>
      <c r="B56" s="22">
        <v>9</v>
      </c>
      <c r="C56" s="22">
        <v>2</v>
      </c>
      <c r="D56" s="22">
        <v>3</v>
      </c>
      <c r="E56" s="22">
        <v>0</v>
      </c>
      <c r="F56" s="22">
        <v>23</v>
      </c>
      <c r="G56" s="22">
        <v>0</v>
      </c>
      <c r="H56" s="22">
        <v>0</v>
      </c>
      <c r="I56" s="22">
        <v>0</v>
      </c>
      <c r="J56" s="22">
        <v>1</v>
      </c>
      <c r="K56" s="22">
        <v>0</v>
      </c>
      <c r="L56" s="22">
        <v>4</v>
      </c>
      <c r="M56" s="22">
        <v>5</v>
      </c>
      <c r="N56" s="22">
        <v>2</v>
      </c>
      <c r="O56" s="22">
        <v>3</v>
      </c>
      <c r="P56" s="22">
        <v>15</v>
      </c>
      <c r="Q56" s="22">
        <v>0</v>
      </c>
      <c r="R56" s="22">
        <v>4</v>
      </c>
      <c r="S56" s="22">
        <v>0</v>
      </c>
      <c r="T56" s="22">
        <v>1</v>
      </c>
      <c r="U56" s="23">
        <f>SUM(Table10[[#This Row],[1'#]:[Minpro]])</f>
        <v>72</v>
      </c>
    </row>
    <row r="57" spans="1:21" s="21" customFormat="1" ht="13.5" thickBot="1">
      <c r="A57" s="24">
        <f>A12</f>
        <v>41299</v>
      </c>
      <c r="B57" s="25">
        <v>5</v>
      </c>
      <c r="C57" s="25">
        <v>1</v>
      </c>
      <c r="D57" s="25">
        <v>1</v>
      </c>
      <c r="E57" s="25">
        <v>0</v>
      </c>
      <c r="F57" s="25">
        <v>19</v>
      </c>
      <c r="G57" s="25">
        <v>0</v>
      </c>
      <c r="H57" s="25">
        <v>0</v>
      </c>
      <c r="I57" s="25">
        <v>1</v>
      </c>
      <c r="J57" s="25">
        <v>0</v>
      </c>
      <c r="K57" s="25">
        <v>2</v>
      </c>
      <c r="L57" s="25">
        <v>5</v>
      </c>
      <c r="M57" s="25">
        <v>4</v>
      </c>
      <c r="N57" s="25">
        <v>5</v>
      </c>
      <c r="O57" s="25">
        <v>2</v>
      </c>
      <c r="P57" s="25">
        <v>3</v>
      </c>
      <c r="Q57" s="25">
        <v>0</v>
      </c>
      <c r="R57" s="25">
        <v>5</v>
      </c>
      <c r="S57" s="25">
        <v>0</v>
      </c>
      <c r="T57" s="25">
        <v>1</v>
      </c>
      <c r="U57" s="23">
        <f>SUM(Table10[[#This Row],[1'#]:[Minpro]])</f>
        <v>54</v>
      </c>
    </row>
    <row r="58" spans="1:21" s="87" customFormat="1" ht="13.5" thickBot="1">
      <c r="A58" s="85" t="str">
        <f>A14</f>
        <v>Week 1 Total</v>
      </c>
      <c r="B58" s="86">
        <f>SUM(B53:B57)</f>
        <v>18</v>
      </c>
      <c r="C58" s="86">
        <f t="shared" ref="C58:U58" si="2">SUM(C53:C57)</f>
        <v>4</v>
      </c>
      <c r="D58" s="86">
        <f t="shared" si="2"/>
        <v>7</v>
      </c>
      <c r="E58" s="86">
        <f t="shared" si="2"/>
        <v>0</v>
      </c>
      <c r="F58" s="86">
        <f t="shared" si="2"/>
        <v>48</v>
      </c>
      <c r="G58" s="86">
        <f t="shared" si="2"/>
        <v>0</v>
      </c>
      <c r="H58" s="86">
        <f t="shared" si="2"/>
        <v>0</v>
      </c>
      <c r="I58" s="86">
        <f t="shared" si="2"/>
        <v>1</v>
      </c>
      <c r="J58" s="86">
        <f t="shared" si="2"/>
        <v>1</v>
      </c>
      <c r="K58" s="86">
        <f t="shared" si="2"/>
        <v>5</v>
      </c>
      <c r="L58" s="86">
        <f t="shared" si="2"/>
        <v>13</v>
      </c>
      <c r="M58" s="86">
        <f t="shared" si="2"/>
        <v>17</v>
      </c>
      <c r="N58" s="86">
        <f t="shared" si="2"/>
        <v>11</v>
      </c>
      <c r="O58" s="86">
        <f t="shared" si="2"/>
        <v>8</v>
      </c>
      <c r="P58" s="86">
        <f t="shared" si="2"/>
        <v>24</v>
      </c>
      <c r="Q58" s="86">
        <f t="shared" si="2"/>
        <v>0</v>
      </c>
      <c r="R58" s="86">
        <f t="shared" si="2"/>
        <v>16</v>
      </c>
      <c r="S58" s="86">
        <f t="shared" si="2"/>
        <v>0</v>
      </c>
      <c r="T58" s="86">
        <f t="shared" si="2"/>
        <v>16</v>
      </c>
      <c r="U58" s="86">
        <f t="shared" si="2"/>
        <v>189</v>
      </c>
    </row>
    <row r="59" spans="1:21" s="21" customFormat="1" ht="26.25">
      <c r="A59" s="134">
        <f>A1</f>
        <v>41302</v>
      </c>
      <c r="B59" s="134"/>
      <c r="C59" s="134"/>
      <c r="D59" s="134"/>
      <c r="E59" s="134"/>
      <c r="F59" s="134"/>
      <c r="G59" s="134"/>
      <c r="H59" s="134"/>
      <c r="I59" s="134"/>
      <c r="J59" s="134"/>
      <c r="K59"/>
      <c r="L59"/>
      <c r="M59"/>
      <c r="N59"/>
      <c r="O59"/>
      <c r="P59"/>
      <c r="Q59"/>
      <c r="R59"/>
      <c r="S59"/>
      <c r="T59"/>
      <c r="U59"/>
    </row>
    <row r="60" spans="1:21" ht="13.5" thickBot="1"/>
    <row r="61" spans="1:21" ht="21" thickBot="1">
      <c r="A61" s="136" t="s">
        <v>52</v>
      </c>
      <c r="B61" s="137"/>
      <c r="C61" s="137"/>
      <c r="D61" s="137"/>
      <c r="E61" s="137"/>
      <c r="F61" s="137"/>
      <c r="G61" s="137"/>
      <c r="H61" s="137"/>
      <c r="I61" s="137"/>
      <c r="J61" s="138"/>
    </row>
    <row r="62" spans="1:21" ht="51.75" thickBot="1">
      <c r="A62" s="40" t="s">
        <v>0</v>
      </c>
      <c r="B62" s="41" t="s">
        <v>24</v>
      </c>
      <c r="C62" s="41" t="s">
        <v>48</v>
      </c>
      <c r="D62" s="41" t="s">
        <v>25</v>
      </c>
      <c r="E62" s="41" t="s">
        <v>49</v>
      </c>
      <c r="F62" s="41" t="s">
        <v>45</v>
      </c>
      <c r="G62" s="41" t="s">
        <v>50</v>
      </c>
      <c r="H62" s="41" t="s">
        <v>46</v>
      </c>
      <c r="I62" s="41" t="s">
        <v>51</v>
      </c>
      <c r="J62" s="42" t="s">
        <v>47</v>
      </c>
      <c r="K62" s="1"/>
      <c r="L62" s="1"/>
      <c r="M62" s="1"/>
      <c r="N62" s="1"/>
      <c r="O62" s="1"/>
      <c r="P62" s="1"/>
      <c r="Q62" s="1"/>
      <c r="R62" s="1"/>
      <c r="S62" s="1"/>
      <c r="T62" s="1"/>
      <c r="U62" s="1"/>
    </row>
    <row r="63" spans="1:21" s="1" customFormat="1">
      <c r="A63" s="3">
        <f>A5</f>
        <v>41295</v>
      </c>
      <c r="B63" s="10">
        <v>13</v>
      </c>
      <c r="C63" s="44">
        <f>Table11[[#This Row],[Contractors]]/U53</f>
        <v>0.26530612244897961</v>
      </c>
      <c r="D63" s="10">
        <v>7</v>
      </c>
      <c r="E63" s="44">
        <f>Table11[[#This Row],[New Recruits]]/U53</f>
        <v>0.14285714285714285</v>
      </c>
      <c r="F63" s="10">
        <v>17</v>
      </c>
      <c r="G63" s="44">
        <f>Table11[[#This Row],[2 Year Claims]]/U53</f>
        <v>0.34693877551020408</v>
      </c>
      <c r="H63" s="10">
        <v>2</v>
      </c>
      <c r="I63" s="44">
        <f>Table11[[#This Row],[5 Year Claim]]/U53</f>
        <v>4.0816326530612242E-2</v>
      </c>
      <c r="J63" s="11">
        <v>8</v>
      </c>
      <c r="K63"/>
      <c r="L63"/>
      <c r="M63"/>
      <c r="N63"/>
      <c r="O63"/>
      <c r="P63"/>
      <c r="Q63"/>
      <c r="R63"/>
      <c r="S63"/>
      <c r="T63"/>
      <c r="U63"/>
    </row>
    <row r="64" spans="1:21">
      <c r="A64" s="2">
        <f>A7</f>
        <v>41296</v>
      </c>
      <c r="B64" s="9">
        <v>20</v>
      </c>
      <c r="C64" s="13">
        <v>0.33</v>
      </c>
      <c r="D64" s="9">
        <v>16</v>
      </c>
      <c r="E64" s="13">
        <v>0.28999999999999998</v>
      </c>
      <c r="F64" s="9">
        <v>7</v>
      </c>
      <c r="G64" s="13">
        <v>0.14000000000000001</v>
      </c>
      <c r="H64" s="9">
        <v>0</v>
      </c>
      <c r="I64" s="13">
        <v>0</v>
      </c>
      <c r="J64" s="110">
        <v>7</v>
      </c>
    </row>
    <row r="65" spans="1:10">
      <c r="A65" s="2">
        <f>A8</f>
        <v>41297</v>
      </c>
      <c r="B65" s="9">
        <v>15</v>
      </c>
      <c r="C65" s="13">
        <f>Table11[[#This Row],[Contractors]]/U55</f>
        <v>1.0714285714285714</v>
      </c>
      <c r="D65" s="9">
        <v>16</v>
      </c>
      <c r="E65" s="13">
        <f>Table11[[#This Row],[New Recruits]]/U55</f>
        <v>1.1428571428571428</v>
      </c>
      <c r="F65" s="9">
        <v>10</v>
      </c>
      <c r="G65" s="13">
        <f>Table11[[#This Row],[2 Year Claims]]/U55</f>
        <v>0.7142857142857143</v>
      </c>
      <c r="H65" s="9">
        <v>1</v>
      </c>
      <c r="I65" s="13">
        <f>Table11[[#This Row],[5 Year Claim]]/U55</f>
        <v>7.1428571428571425E-2</v>
      </c>
      <c r="J65" s="110">
        <v>5</v>
      </c>
    </row>
    <row r="66" spans="1:10">
      <c r="A66" s="2">
        <f>A10</f>
        <v>41298</v>
      </c>
      <c r="B66" s="9">
        <v>16</v>
      </c>
      <c r="C66" s="13">
        <f>Table11[[#This Row],[Contractors]]/U56</f>
        <v>0.22222222222222221</v>
      </c>
      <c r="D66" s="9">
        <v>9</v>
      </c>
      <c r="E66" s="13">
        <f>Table11[[#This Row],[New Recruits]]/U56</f>
        <v>0.125</v>
      </c>
      <c r="F66" s="9">
        <v>12</v>
      </c>
      <c r="G66" s="13">
        <f>Table11[[#This Row],[2 Year Claims]]/U56</f>
        <v>0.16666666666666666</v>
      </c>
      <c r="H66" s="9">
        <v>0</v>
      </c>
      <c r="I66" s="13">
        <f>Table11[[#This Row],[5 Year Claim]]/U56</f>
        <v>0</v>
      </c>
      <c r="J66" s="110">
        <v>3</v>
      </c>
    </row>
    <row r="67" spans="1:10" ht="13.5" thickBot="1">
      <c r="A67" s="5">
        <f>A12</f>
        <v>41299</v>
      </c>
      <c r="B67" s="15">
        <v>10</v>
      </c>
      <c r="C67" s="13">
        <f>Table11[[#This Row],[Contractors]]/U57</f>
        <v>0.18518518518518517</v>
      </c>
      <c r="D67" s="15">
        <v>15</v>
      </c>
      <c r="E67" s="13">
        <f>Table11[[#This Row],[New Recruits]]/U57</f>
        <v>0.27777777777777779</v>
      </c>
      <c r="F67" s="15">
        <v>8</v>
      </c>
      <c r="G67" s="13">
        <f>Table11[[#This Row],[2 Year Claims]]/U57</f>
        <v>0.14814814814814814</v>
      </c>
      <c r="H67" s="15">
        <v>1</v>
      </c>
      <c r="I67" s="13">
        <f>Table11[[#This Row],[5 Year Claim]]/U57</f>
        <v>1.8518518518518517E-2</v>
      </c>
      <c r="J67" s="111">
        <v>8</v>
      </c>
    </row>
    <row r="68" spans="1:10" ht="13.5" thickBot="1">
      <c r="A68" s="84" t="str">
        <f>A14</f>
        <v>Week 1 Total</v>
      </c>
      <c r="B68" s="112">
        <f>SUM(B63:B67)</f>
        <v>74</v>
      </c>
      <c r="C68" s="113">
        <f>AVERAGE(C63:C67)</f>
        <v>0.41482842025699168</v>
      </c>
      <c r="D68" s="112">
        <f>SUM(D63:D67)</f>
        <v>63</v>
      </c>
      <c r="E68" s="113">
        <f>AVERAGE(E63:E67)</f>
        <v>0.39569841269841266</v>
      </c>
      <c r="F68" s="112">
        <f>SUM(F63:F67)</f>
        <v>54</v>
      </c>
      <c r="G68" s="113">
        <f>AVERAGE(G63:G67)</f>
        <v>0.30320786092214663</v>
      </c>
      <c r="H68" s="112">
        <f>SUM(H63:H67)</f>
        <v>4</v>
      </c>
      <c r="I68" s="113">
        <f>AVERAGE(I63:I67)</f>
        <v>2.6152683295540435E-2</v>
      </c>
      <c r="J68" s="112">
        <f>SUM(J63:J67)</f>
        <v>31</v>
      </c>
    </row>
    <row r="69" spans="1:10" ht="26.25" customHeight="1">
      <c r="A69" s="134"/>
      <c r="B69" s="135"/>
    </row>
    <row r="70" spans="1:10" s="102" customFormat="1" ht="13.5" customHeight="1">
      <c r="A70" s="101"/>
      <c r="B70" s="101"/>
    </row>
    <row r="71" spans="1:10" ht="21" customHeight="1"/>
  </sheetData>
  <mergeCells count="11">
    <mergeCell ref="A1:H1"/>
    <mergeCell ref="A16:I16"/>
    <mergeCell ref="A30:E30"/>
    <mergeCell ref="A32:E32"/>
    <mergeCell ref="A18:I18"/>
    <mergeCell ref="A3:H3"/>
    <mergeCell ref="A69:B69"/>
    <mergeCell ref="A61:J61"/>
    <mergeCell ref="A59:J59"/>
    <mergeCell ref="A51:U51"/>
    <mergeCell ref="A49:U49"/>
  </mergeCells>
  <phoneticPr fontId="1" type="noConversion"/>
  <conditionalFormatting sqref="D34">
    <cfRule type="cellIs" dxfId="856" priority="64" operator="greaterThan">
      <formula>$C$34</formula>
    </cfRule>
  </conditionalFormatting>
  <conditionalFormatting sqref="D35">
    <cfRule type="cellIs" dxfId="855" priority="62" operator="greaterThan">
      <formula>$C$35</formula>
    </cfRule>
  </conditionalFormatting>
  <conditionalFormatting sqref="D36">
    <cfRule type="cellIs" dxfId="854" priority="54" operator="greaterThan">
      <formula>$C$36</formula>
    </cfRule>
  </conditionalFormatting>
  <conditionalFormatting sqref="D38">
    <cfRule type="cellIs" dxfId="853" priority="45" operator="greaterThan">
      <formula>$C$38</formula>
    </cfRule>
  </conditionalFormatting>
  <conditionalFormatting sqref="D39">
    <cfRule type="cellIs" dxfId="852" priority="44" operator="greaterThan">
      <formula>$C$39</formula>
    </cfRule>
  </conditionalFormatting>
  <conditionalFormatting sqref="D40">
    <cfRule type="cellIs" dxfId="851" priority="40" operator="greaterThan">
      <formula>$C$40</formula>
    </cfRule>
  </conditionalFormatting>
  <conditionalFormatting sqref="D41">
    <cfRule type="cellIs" dxfId="850" priority="39" operator="greaterThan">
      <formula>$C$41</formula>
    </cfRule>
  </conditionalFormatting>
  <conditionalFormatting sqref="D42">
    <cfRule type="cellIs" dxfId="849" priority="38" operator="greaterThan">
      <formula>$C$42</formula>
    </cfRule>
  </conditionalFormatting>
  <conditionalFormatting sqref="D43">
    <cfRule type="cellIs" dxfId="848" priority="37" operator="greaterThan">
      <formula>$C$43</formula>
    </cfRule>
  </conditionalFormatting>
  <conditionalFormatting sqref="D44">
    <cfRule type="cellIs" dxfId="847" priority="35" operator="greaterThan">
      <formula>$C$44</formula>
    </cfRule>
  </conditionalFormatting>
  <conditionalFormatting sqref="D45">
    <cfRule type="cellIs" dxfId="846" priority="34" operator="greaterThan">
      <formula>$C$45</formula>
    </cfRule>
  </conditionalFormatting>
  <conditionalFormatting sqref="D46">
    <cfRule type="cellIs" dxfId="845" priority="33" operator="greaterThan">
      <formula>$C$46</formula>
    </cfRule>
  </conditionalFormatting>
  <conditionalFormatting sqref="F14 F5:F12">
    <cfRule type="cellIs" dxfId="844" priority="14" operator="lessThan">
      <formula>0.7</formula>
    </cfRule>
    <cfRule type="cellIs" dxfId="843" priority="15" operator="greaterThan">
      <formula>0.7</formula>
    </cfRule>
  </conditionalFormatting>
  <pageMargins left="0.15748031496062992" right="0.15748031496062992" top="0.39370078740157483" bottom="0.39370078740157483" header="0.51181102362204722" footer="0.51181102362204722"/>
  <pageSetup paperSize="9" scale="60" orientation="landscape" verticalDpi="300" r:id="rId1"/>
  <headerFooter alignWithMargins="0"/>
  <rowBreaks count="2" manualBreakCount="2">
    <brk id="29" max="16383" man="1"/>
    <brk id="48" max="16383" man="1"/>
  </rowBreaks>
  <ignoredErrors>
    <ignoredError sqref="A7" calculatedColumn="1"/>
  </ignoredErrors>
  <legacyDrawing r:id="rId2"/>
  <tableParts count="5">
    <tablePart r:id="rId3"/>
    <tablePart r:id="rId4"/>
    <tablePart r:id="rId5"/>
    <tablePart r:id="rId6"/>
    <tablePart r:id="rId7"/>
  </tableParts>
</worksheet>
</file>

<file path=xl/worksheets/sheet10.xml><?xml version="1.0" encoding="utf-8"?>
<worksheet xmlns="http://schemas.openxmlformats.org/spreadsheetml/2006/main" xmlns:r="http://schemas.openxmlformats.org/officeDocument/2006/relationships">
  <dimension ref="A1"/>
  <sheetViews>
    <sheetView topLeftCell="A76" zoomScale="75" workbookViewId="0">
      <selection activeCell="R17" sqref="R17"/>
    </sheetView>
  </sheetViews>
  <sheetFormatPr defaultRowHeight="12.75"/>
  <sheetData/>
  <phoneticPr fontId="1"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dimension ref="A1:U210"/>
  <sheetViews>
    <sheetView topLeftCell="B95" zoomScale="80" zoomScaleNormal="80" zoomScaleSheetLayoutView="50" workbookViewId="0">
      <selection activeCell="E144" sqref="B96:E144"/>
    </sheetView>
  </sheetViews>
  <sheetFormatPr defaultRowHeight="12.75"/>
  <cols>
    <col min="1" max="1" width="15.7109375" customWidth="1"/>
    <col min="2" max="10" width="13.7109375" customWidth="1"/>
    <col min="11" max="21" width="8.85546875" customWidth="1"/>
  </cols>
  <sheetData>
    <row r="1" spans="1:8" ht="26.25">
      <c r="A1" s="143">
        <v>41233</v>
      </c>
      <c r="B1" s="143"/>
      <c r="C1" s="143"/>
      <c r="D1" s="143"/>
      <c r="E1" s="143"/>
      <c r="F1" s="143"/>
      <c r="G1" s="143"/>
      <c r="H1" s="143"/>
    </row>
    <row r="2" spans="1:8" ht="13.5" thickBot="1"/>
    <row r="3" spans="1:8" ht="21" thickBot="1">
      <c r="A3" s="147" t="s">
        <v>2</v>
      </c>
      <c r="B3" s="148"/>
      <c r="C3" s="148"/>
      <c r="D3" s="148"/>
      <c r="E3" s="148"/>
      <c r="F3" s="148"/>
      <c r="G3" s="148"/>
      <c r="H3" s="149"/>
    </row>
    <row r="4" spans="1:8" s="1" customFormat="1" ht="80.25" customHeight="1" thickBot="1">
      <c r="A4" s="40" t="s">
        <v>0</v>
      </c>
      <c r="B4" s="41" t="s">
        <v>1</v>
      </c>
      <c r="C4" s="41" t="s">
        <v>26</v>
      </c>
      <c r="D4" s="41" t="s">
        <v>27</v>
      </c>
      <c r="E4" s="41" t="s">
        <v>28</v>
      </c>
      <c r="F4" s="41" t="s">
        <v>29</v>
      </c>
      <c r="G4" s="41" t="s">
        <v>30</v>
      </c>
      <c r="H4" s="42" t="s">
        <v>31</v>
      </c>
    </row>
    <row r="5" spans="1:8">
      <c r="A5" s="43">
        <f>Table3[[#This Row],[Date]]</f>
        <v>41295</v>
      </c>
      <c r="B5" s="10" t="str">
        <f>Table3[[#This Row],[Shaft / Area]]</f>
        <v>2#</v>
      </c>
      <c r="C5" s="10">
        <f>Table3[[#This Row],[Quantity to Parade]]</f>
        <v>44</v>
      </c>
      <c r="D5" s="10">
        <f>Table3[[#This Row],[Quantity Paraded]]</f>
        <v>6</v>
      </c>
      <c r="E5" s="10">
        <f>Table3[[#This Row],[Quantity Fitted at Shaft/Area]]</f>
        <v>3</v>
      </c>
      <c r="F5" s="103">
        <f>Table3[[#This Row],[Pecentage Fitted at Shaft/Area]]</f>
        <v>0.5</v>
      </c>
      <c r="G5" s="10">
        <f>Table3[[#This Row],[Quantity Fitted at NC Office]]</f>
        <v>7</v>
      </c>
      <c r="H5" s="12">
        <f>Table3[[#This Row],[Total Fitted for the Day]]</f>
        <v>10</v>
      </c>
    </row>
    <row r="6" spans="1:8">
      <c r="A6" s="47">
        <f>Table3[[#This Row],[Date]]</f>
        <v>41295</v>
      </c>
      <c r="B6" s="46" t="str">
        <f>Table3[[#This Row],[Shaft / Area]]</f>
        <v>1#</v>
      </c>
      <c r="C6" s="46">
        <f>Table3[[#This Row],[Quantity to Parade]]</f>
        <v>46</v>
      </c>
      <c r="D6" s="46">
        <f>Table3[[#This Row],[Quantity Paraded]]</f>
        <v>24</v>
      </c>
      <c r="E6" s="46">
        <f>Table3[[#This Row],[Quantity Fitted at Shaft/Area]]</f>
        <v>12</v>
      </c>
      <c r="F6" s="104">
        <f>Table3[[#This Row],[Pecentage Fitted at Shaft/Area]]</f>
        <v>0.5</v>
      </c>
      <c r="G6" s="46">
        <f>Table3[[#This Row],[Quantity Fitted at NC Office]]</f>
        <v>0</v>
      </c>
      <c r="H6" s="12">
        <f>Table3[[#This Row],[Total Fitted for the Day]]</f>
        <v>12</v>
      </c>
    </row>
    <row r="7" spans="1:8">
      <c r="A7" s="60">
        <f>Table3[[#This Row],[Date]]</f>
        <v>41296</v>
      </c>
      <c r="B7" s="61" t="str">
        <f>Table3[[#This Row],[Shaft / Area]]</f>
        <v>20#</v>
      </c>
      <c r="C7" s="61">
        <f>Table3[[#This Row],[Quantity to Parade]]</f>
        <v>66</v>
      </c>
      <c r="D7" s="61">
        <f>Table3[[#This Row],[Quantity Paraded]]</f>
        <v>15</v>
      </c>
      <c r="E7" s="61">
        <f>Table3[[#This Row],[Quantity Fitted at Shaft/Area]]</f>
        <v>3</v>
      </c>
      <c r="F7" s="105">
        <f>Table3[[#This Row],[Pecentage Fitted at Shaft/Area]]</f>
        <v>0.2</v>
      </c>
      <c r="G7" s="61">
        <f>Table3[[#This Row],[Quantity Fitted at NC Office]]</f>
        <v>9</v>
      </c>
      <c r="H7" s="12">
        <f>Table3[[#This Row],[Total Fitted for the Day]]</f>
        <v>12</v>
      </c>
    </row>
    <row r="8" spans="1:8">
      <c r="A8" s="60">
        <f>Table3[[#This Row],[Date]]</f>
        <v>41297</v>
      </c>
      <c r="B8" s="61" t="str">
        <f>Table3[[#This Row],[Shaft / Area]]</f>
        <v>11C#</v>
      </c>
      <c r="C8" s="61">
        <f>Table3[[#This Row],[Quantity to Parade]]</f>
        <v>47</v>
      </c>
      <c r="D8" s="61">
        <f>Table3[[#This Row],[Quantity Paraded]]</f>
        <v>31</v>
      </c>
      <c r="E8" s="61">
        <f>Table3[[#This Row],[Quantity Fitted at Shaft/Area]]</f>
        <v>18</v>
      </c>
      <c r="F8" s="105">
        <f>Table3[[#This Row],[Pecentage Fitted at Shaft/Area]]</f>
        <v>0.58064516129032262</v>
      </c>
      <c r="G8" s="61">
        <f>Table3[[#This Row],[Quantity Fitted at NC Office]]</f>
        <v>5</v>
      </c>
      <c r="H8" s="12">
        <f>Table3[[#This Row],[Total Fitted for the Day]]</f>
        <v>23</v>
      </c>
    </row>
    <row r="9" spans="1:8">
      <c r="A9" s="47">
        <f>Table3[[#This Row],[Date]]</f>
        <v>41297</v>
      </c>
      <c r="B9" s="46" t="str">
        <f>Table3[[#This Row],[Shaft / Area]]</f>
        <v>4#</v>
      </c>
      <c r="C9" s="46">
        <f>Table3[[#This Row],[Quantity to Parade]]</f>
        <v>26</v>
      </c>
      <c r="D9" s="46">
        <f>Table3[[#This Row],[Quantity Paraded]]</f>
        <v>17</v>
      </c>
      <c r="E9" s="46">
        <f>Table3[[#This Row],[Quantity Fitted at Shaft/Area]]</f>
        <v>8</v>
      </c>
      <c r="F9" s="104">
        <f>Table3[[#This Row],[Pecentage Fitted at Shaft/Area]]</f>
        <v>0.47058823529411764</v>
      </c>
      <c r="G9" s="46">
        <f>Table3[[#This Row],[Quantity Fitted at NC Office]]</f>
        <v>0</v>
      </c>
      <c r="H9" s="12">
        <f>Table3[[#This Row],[Total Fitted for the Day]]</f>
        <v>8</v>
      </c>
    </row>
    <row r="10" spans="1:8">
      <c r="A10" s="47">
        <f>Table3[[#This Row],[Date]]</f>
        <v>41298</v>
      </c>
      <c r="B10" s="46" t="str">
        <f>Table3[[#This Row],[Shaft / Area]]</f>
        <v>6#</v>
      </c>
      <c r="C10" s="46">
        <f>Table3[[#This Row],[Quantity to Parade]]</f>
        <v>25</v>
      </c>
      <c r="D10" s="46">
        <f>Table3[[#This Row],[Quantity Paraded]]</f>
        <v>19</v>
      </c>
      <c r="E10" s="46">
        <f>Table3[[#This Row],[Quantity Fitted at Shaft/Area]]</f>
        <v>8</v>
      </c>
      <c r="F10" s="104">
        <f>Table3[[#This Row],[Pecentage Fitted at Shaft/Area]]</f>
        <v>0.42105263157894735</v>
      </c>
      <c r="G10" s="46">
        <f>Table3[[#This Row],[Quantity Fitted at NC Office]]</f>
        <v>7</v>
      </c>
      <c r="H10" s="12">
        <f>Table3[[#This Row],[Total Fitted for the Day]]</f>
        <v>15</v>
      </c>
    </row>
    <row r="11" spans="1:8">
      <c r="A11" s="60">
        <f>Table3[[#This Row],[Date]]</f>
        <v>41298</v>
      </c>
      <c r="B11" s="61" t="str">
        <f>Table3[[#This Row],[Shaft / Area]]</f>
        <v>14#</v>
      </c>
      <c r="C11" s="61">
        <f>Table3[[#This Row],[Quantity to Parade]]</f>
        <v>48</v>
      </c>
      <c r="D11" s="61">
        <f>Table3[[#This Row],[Quantity Paraded]]</f>
        <v>38</v>
      </c>
      <c r="E11" s="61">
        <f>Table3[[#This Row],[Quantity Fitted at Shaft/Area]]</f>
        <v>12</v>
      </c>
      <c r="F11" s="105">
        <f>Table3[[#This Row],[Pecentage Fitted at Shaft/Area]]</f>
        <v>0.31578947368421051</v>
      </c>
      <c r="G11" s="61">
        <f>Table3[[#This Row],[Quantity Fitted at NC Office]]</f>
        <v>0</v>
      </c>
      <c r="H11" s="12">
        <f>Table3[[#This Row],[Total Fitted for the Day]]</f>
        <v>12</v>
      </c>
    </row>
    <row r="12" spans="1:8">
      <c r="A12" s="60">
        <f>Table3[[#This Row],[Date]]</f>
        <v>41299</v>
      </c>
      <c r="B12" s="61" t="str">
        <f>Table3[[#This Row],[Shaft / Area]]</f>
        <v>9#</v>
      </c>
      <c r="C12" s="61">
        <f>Table3[[#This Row],[Quantity to Parade]]</f>
        <v>28</v>
      </c>
      <c r="D12" s="61">
        <f>Table3[[#This Row],[Quantity Paraded]]</f>
        <v>13</v>
      </c>
      <c r="E12" s="61">
        <f>Table3[[#This Row],[Quantity Fitted at Shaft/Area]]</f>
        <v>10</v>
      </c>
      <c r="F12" s="105">
        <f>Table3[[#This Row],[Pecentage Fitted at Shaft/Area]]</f>
        <v>0.76923076923076927</v>
      </c>
      <c r="G12" s="61">
        <f>Table3[[#This Row],[Quantity Fitted at NC Office]]</f>
        <v>4</v>
      </c>
      <c r="H12" s="12">
        <f>Table3[[#This Row],[Total Fitted for the Day]]</f>
        <v>14</v>
      </c>
    </row>
    <row r="13" spans="1:8">
      <c r="A13" s="47">
        <f>Table3[[#This Row],[Date]]</f>
        <v>41299</v>
      </c>
      <c r="B13" s="46" t="str">
        <f>Table3[[#This Row],[Shaft / Area]]</f>
        <v>10#</v>
      </c>
      <c r="C13" s="46">
        <f>Table3[[#This Row],[Quantity to Parade]]</f>
        <v>28</v>
      </c>
      <c r="D13" s="46">
        <f>Table3[[#This Row],[Quantity Paraded]]</f>
        <v>14</v>
      </c>
      <c r="E13" s="46">
        <f>Table3[[#This Row],[Quantity Fitted at Shaft/Area]]</f>
        <v>9</v>
      </c>
      <c r="F13" s="104">
        <f>Table3[[#This Row],[Pecentage Fitted at Shaft/Area]]</f>
        <v>0.6428571428571429</v>
      </c>
      <c r="G13" s="46">
        <f>Table3[[#This Row],[Quantity Fitted at NC Office]]</f>
        <v>0</v>
      </c>
      <c r="H13" s="12">
        <f>Table3[[#This Row],[Total Fitted for the Day]]</f>
        <v>9</v>
      </c>
    </row>
    <row r="14" spans="1:8" ht="15">
      <c r="A14" s="116" t="str">
        <f>Table3[[#This Row],[Date]]</f>
        <v>Week 1 Total</v>
      </c>
      <c r="B14" s="117">
        <f>Table3[[#This Row],[Shaft / Area]]</f>
        <v>0</v>
      </c>
      <c r="C14" s="117">
        <f>Table3[[#This Row],[Quantity to Parade]]</f>
        <v>358</v>
      </c>
      <c r="D14" s="117">
        <f>Table3[[#This Row],[Quantity Paraded]]</f>
        <v>177</v>
      </c>
      <c r="E14" s="117">
        <f>Table3[[#This Row],[Quantity Fitted at Shaft/Area]]</f>
        <v>83</v>
      </c>
      <c r="F14" s="118">
        <f>Table3[[#This Row],[Pecentage Fitted at Shaft/Area]]</f>
        <v>0.48890704599283452</v>
      </c>
      <c r="G14" s="117">
        <f>Table3[[#This Row],[Quantity Fitted at NC Office]]</f>
        <v>32</v>
      </c>
      <c r="H14" s="119">
        <f>Table3[[#This Row],[Total Fitted for the Day]]</f>
        <v>115</v>
      </c>
    </row>
    <row r="15" spans="1:8">
      <c r="A15" s="62">
        <f>'Week 2 Stats'!A5</f>
        <v>41302</v>
      </c>
      <c r="B15" s="33" t="str">
        <f>'Week 2 Stats'!B5</f>
        <v>16#</v>
      </c>
      <c r="C15" s="33">
        <f>'Week 2 Stats'!C5</f>
        <v>27</v>
      </c>
      <c r="D15" s="33">
        <f>'Week 2 Stats'!D5</f>
        <v>17</v>
      </c>
      <c r="E15" s="33">
        <f>'Week 2 Stats'!E5</f>
        <v>2</v>
      </c>
      <c r="F15" s="107">
        <v>0</v>
      </c>
      <c r="G15" s="33">
        <f>'Week 2 Stats'!G5</f>
        <v>8</v>
      </c>
      <c r="H15" s="63">
        <f>'Week 2 Stats'!H5</f>
        <v>10</v>
      </c>
    </row>
    <row r="16" spans="1:8">
      <c r="A16" s="62">
        <f>'Week 2 Stats'!A6</f>
        <v>41302</v>
      </c>
      <c r="B16" s="33" t="str">
        <f>'Week 2 Stats'!B6</f>
        <v>17#</v>
      </c>
      <c r="C16" s="33">
        <f>'Week 2 Stats'!C6</f>
        <v>33</v>
      </c>
      <c r="D16" s="33">
        <f>'Week 2 Stats'!D6</f>
        <v>18</v>
      </c>
      <c r="E16" s="33">
        <f>'Week 2 Stats'!E6</f>
        <v>3</v>
      </c>
      <c r="F16" s="107">
        <v>0</v>
      </c>
      <c r="G16" s="33">
        <f>'Week 2 Stats'!G6</f>
        <v>0</v>
      </c>
      <c r="H16" s="63">
        <f>'Week 2 Stats'!H6</f>
        <v>3</v>
      </c>
    </row>
    <row r="17" spans="1:8">
      <c r="A17" s="93">
        <f>'Week 2 Stats'!A7</f>
        <v>41303</v>
      </c>
      <c r="B17" s="94" t="str">
        <f>'Week 2 Stats'!B7</f>
        <v>11C#</v>
      </c>
      <c r="C17" s="94">
        <f>'Week 2 Stats'!C7</f>
        <v>27</v>
      </c>
      <c r="D17" s="94">
        <f>'Week 2 Stats'!D7</f>
        <v>15</v>
      </c>
      <c r="E17" s="94">
        <f>'Week 2 Stats'!E7</f>
        <v>6</v>
      </c>
      <c r="F17" s="108">
        <f>'Week 2 Stats'!F7</f>
        <v>0.4</v>
      </c>
      <c r="G17" s="94">
        <f>'Week 2 Stats'!G7</f>
        <v>12</v>
      </c>
      <c r="H17" s="63">
        <f>'Week 2 Stats'!H7</f>
        <v>18</v>
      </c>
    </row>
    <row r="18" spans="1:8">
      <c r="A18" s="93">
        <f>'Week 2 Stats'!A8</f>
        <v>41303</v>
      </c>
      <c r="B18" s="94" t="str">
        <f>'Week 2 Stats'!B8</f>
        <v>11#</v>
      </c>
      <c r="C18" s="94">
        <f>'Week 2 Stats'!C8</f>
        <v>56</v>
      </c>
      <c r="D18" s="94">
        <f>'Week 2 Stats'!D8</f>
        <v>40</v>
      </c>
      <c r="E18" s="94">
        <f>'Week 2 Stats'!E8</f>
        <v>3</v>
      </c>
      <c r="F18" s="108">
        <f>'Week 2 Stats'!F8</f>
        <v>7.4999999999999997E-2</v>
      </c>
      <c r="G18" s="94">
        <f>'Week 2 Stats'!G8</f>
        <v>0</v>
      </c>
      <c r="H18" s="63">
        <f>'Week 2 Stats'!H8</f>
        <v>3</v>
      </c>
    </row>
    <row r="19" spans="1:8">
      <c r="A19" s="62">
        <f>'Week 2 Stats'!A9</f>
        <v>41304</v>
      </c>
      <c r="B19" s="33" t="str">
        <f>'Week 2 Stats'!B9</f>
        <v>6#</v>
      </c>
      <c r="C19" s="33">
        <f>'Week 2 Stats'!C9</f>
        <v>86</v>
      </c>
      <c r="D19" s="33">
        <f>'Week 2 Stats'!D9</f>
        <v>74</v>
      </c>
      <c r="E19" s="33">
        <f>'Week 2 Stats'!E9</f>
        <v>38</v>
      </c>
      <c r="F19" s="107">
        <f>'Week 2 Stats'!F9</f>
        <v>0.51351351351351349</v>
      </c>
      <c r="G19" s="33">
        <f>'Week 2 Stats'!G9</f>
        <v>2</v>
      </c>
      <c r="H19" s="63">
        <f>'Week 2 Stats'!H9</f>
        <v>40</v>
      </c>
    </row>
    <row r="20" spans="1:8">
      <c r="A20" s="93">
        <f>'Week 2 Stats'!A10</f>
        <v>41305</v>
      </c>
      <c r="B20" s="94" t="str">
        <f>'Week 2 Stats'!B10</f>
        <v>11C#</v>
      </c>
      <c r="C20" s="94">
        <f>'Week 2 Stats'!C10</f>
        <v>24</v>
      </c>
      <c r="D20" s="94">
        <f>'Week 2 Stats'!D10</f>
        <v>16</v>
      </c>
      <c r="E20" s="94">
        <f>'Week 2 Stats'!E10</f>
        <v>9</v>
      </c>
      <c r="F20" s="108">
        <f>'Week 2 Stats'!F10</f>
        <v>0.5625</v>
      </c>
      <c r="G20" s="94">
        <f>'Week 2 Stats'!G10</f>
        <v>5</v>
      </c>
      <c r="H20" s="63">
        <f>'Week 2 Stats'!H10</f>
        <v>14</v>
      </c>
    </row>
    <row r="21" spans="1:8" ht="13.5" thickBot="1">
      <c r="A21" s="62">
        <f>'Week 2 Stats'!A11</f>
        <v>41306</v>
      </c>
      <c r="B21" s="33" t="str">
        <f>'Week 2 Stats'!B11</f>
        <v>12#</v>
      </c>
      <c r="C21" s="33">
        <f>'Week 2 Stats'!C11</f>
        <v>108</v>
      </c>
      <c r="D21" s="33">
        <f>'Week 2 Stats'!D11</f>
        <v>79</v>
      </c>
      <c r="E21" s="33">
        <f>'Week 2 Stats'!E11</f>
        <v>56</v>
      </c>
      <c r="F21" s="107">
        <f>'Week 2 Stats'!F11</f>
        <v>0.70886075949367089</v>
      </c>
      <c r="G21" s="33">
        <f>'Week 2 Stats'!G11</f>
        <v>14</v>
      </c>
      <c r="H21" s="63">
        <f>'Week 2 Stats'!H11</f>
        <v>70</v>
      </c>
    </row>
    <row r="22" spans="1:8" ht="13.5" thickBot="1">
      <c r="A22" s="64" t="str">
        <f>'Week 2 Stats'!A12</f>
        <v>Week 2 Total</v>
      </c>
      <c r="B22" s="59">
        <f>SUM(B15:B21)</f>
        <v>0</v>
      </c>
      <c r="C22" s="59">
        <f>SUM(C15:C21)</f>
        <v>361</v>
      </c>
      <c r="D22" s="59">
        <f>SUM(D15:D21)</f>
        <v>259</v>
      </c>
      <c r="E22" s="59">
        <f>SUM(E15:E21)</f>
        <v>117</v>
      </c>
      <c r="F22" s="106">
        <f>AVERAGE(F15:F21)</f>
        <v>0.32283918185816918</v>
      </c>
      <c r="G22" s="59">
        <f>SUM(G15:G21)</f>
        <v>41</v>
      </c>
      <c r="H22" s="65">
        <f>SUM(H15:H21)</f>
        <v>158</v>
      </c>
    </row>
    <row r="23" spans="1:8">
      <c r="A23" s="62">
        <f>'Week 3 Stats'!A5</f>
        <v>41309</v>
      </c>
      <c r="B23" s="33" t="str">
        <f>'Week 3 Stats'!B5</f>
        <v>8#</v>
      </c>
      <c r="C23" s="33">
        <f>'Week 3 Stats'!C5</f>
        <v>18</v>
      </c>
      <c r="D23" s="33">
        <f>'Week 3 Stats'!D5</f>
        <v>16</v>
      </c>
      <c r="E23" s="33">
        <f>'Week 3 Stats'!E5</f>
        <v>10</v>
      </c>
      <c r="F23" s="107">
        <f>'Week 3 Stats'!F5</f>
        <v>0.625</v>
      </c>
      <c r="G23" s="33">
        <f>'Week 3 Stats'!G5</f>
        <v>7</v>
      </c>
      <c r="H23" s="63">
        <f>'Week 3 Stats'!H5</f>
        <v>17</v>
      </c>
    </row>
    <row r="24" spans="1:8">
      <c r="A24" s="93">
        <f>'Week 3 Stats'!A6</f>
        <v>41310</v>
      </c>
      <c r="B24" s="94" t="str">
        <f>'Week 3 Stats'!B6</f>
        <v>20#</v>
      </c>
      <c r="C24" s="94">
        <f>'Week 3 Stats'!C6</f>
        <v>86</v>
      </c>
      <c r="D24" s="94">
        <f>'Week 3 Stats'!D6</f>
        <v>61</v>
      </c>
      <c r="E24" s="94">
        <f>'Week 3 Stats'!E6</f>
        <v>17</v>
      </c>
      <c r="F24" s="108">
        <f>'Week 3 Stats'!F6</f>
        <v>0.27868852459016391</v>
      </c>
      <c r="G24" s="94">
        <f>'Week 3 Stats'!G6</f>
        <v>11</v>
      </c>
      <c r="H24" s="63">
        <f>'Week 3 Stats'!H6</f>
        <v>28</v>
      </c>
    </row>
    <row r="25" spans="1:8">
      <c r="A25" s="93">
        <f>'Week 3 Stats'!A7</f>
        <v>41310</v>
      </c>
      <c r="B25" s="94" t="str">
        <f>'Week 3 Stats'!B7</f>
        <v>2#</v>
      </c>
      <c r="C25" s="94">
        <f>'Week 3 Stats'!C7</f>
        <v>45</v>
      </c>
      <c r="D25" s="94">
        <f>'Week 3 Stats'!D7</f>
        <v>7</v>
      </c>
      <c r="E25" s="94">
        <f>'Week 3 Stats'!E7</f>
        <v>1</v>
      </c>
      <c r="F25" s="108">
        <f>'Week 3 Stats'!F7</f>
        <v>0.14285714285714285</v>
      </c>
      <c r="G25" s="94">
        <f>'Week 3 Stats'!G7</f>
        <v>0</v>
      </c>
      <c r="H25" s="63">
        <f>'Week 3 Stats'!H7</f>
        <v>1</v>
      </c>
    </row>
    <row r="26" spans="1:8">
      <c r="A26" s="62">
        <f>'Week 3 Stats'!A8</f>
        <v>41311</v>
      </c>
      <c r="B26" s="33" t="str">
        <f>'Week 3 Stats'!B8</f>
        <v>10#</v>
      </c>
      <c r="C26" s="33">
        <f>'Week 3 Stats'!C8</f>
        <v>47</v>
      </c>
      <c r="D26" s="33">
        <f>'Week 3 Stats'!D8</f>
        <v>19</v>
      </c>
      <c r="E26" s="33">
        <f>'Week 3 Stats'!E8</f>
        <v>7</v>
      </c>
      <c r="F26" s="107">
        <f>'Week 3 Stats'!F8</f>
        <v>0.36842105263157893</v>
      </c>
      <c r="G26" s="33">
        <f>'Week 3 Stats'!G8</f>
        <v>5</v>
      </c>
      <c r="H26" s="63">
        <f>'Week 3 Stats'!H8</f>
        <v>12</v>
      </c>
    </row>
    <row r="27" spans="1:8">
      <c r="A27" s="93">
        <f>'Week 3 Stats'!A9</f>
        <v>41312</v>
      </c>
      <c r="B27" s="94" t="str">
        <f>'Week 3 Stats'!B9</f>
        <v>14#</v>
      </c>
      <c r="C27" s="94">
        <f>'Week 3 Stats'!C9</f>
        <v>70</v>
      </c>
      <c r="D27" s="94">
        <f>'Week 3 Stats'!D9</f>
        <v>49</v>
      </c>
      <c r="E27" s="94">
        <f>'Week 3 Stats'!E9</f>
        <v>15</v>
      </c>
      <c r="F27" s="108">
        <f>'Week 3 Stats'!F9</f>
        <v>0.30612244897959184</v>
      </c>
      <c r="G27" s="94">
        <f>'Week 3 Stats'!G9</f>
        <v>12</v>
      </c>
      <c r="H27" s="63">
        <f>'Week 3 Stats'!H9</f>
        <v>27</v>
      </c>
    </row>
    <row r="28" spans="1:8" ht="13.5" thickBot="1">
      <c r="A28" s="62">
        <f>'Week 3 Stats'!A10</f>
        <v>41313</v>
      </c>
      <c r="B28" s="33" t="str">
        <f>'Week 3 Stats'!B10</f>
        <v>11C#</v>
      </c>
      <c r="C28" s="33">
        <f>'Week 3 Stats'!C10</f>
        <v>70</v>
      </c>
      <c r="D28" s="33">
        <f>'Week 3 Stats'!D10</f>
        <v>42</v>
      </c>
      <c r="E28" s="33">
        <f>'Week 3 Stats'!E10</f>
        <v>25</v>
      </c>
      <c r="F28" s="107">
        <f>'Week 3 Stats'!F10</f>
        <v>0.59523809523809523</v>
      </c>
      <c r="G28" s="33">
        <f>'Week 3 Stats'!G10</f>
        <v>12</v>
      </c>
      <c r="H28" s="63">
        <f>'Week 3 Stats'!H10</f>
        <v>37</v>
      </c>
    </row>
    <row r="29" spans="1:8" ht="13.5" thickBot="1">
      <c r="A29" s="64" t="str">
        <f>'Week 3 Stats'!A11</f>
        <v>Week 3 Total</v>
      </c>
      <c r="B29" s="59">
        <f>SUM(B23:B28)</f>
        <v>0</v>
      </c>
      <c r="C29" s="59">
        <f>SUM(C23:C28)</f>
        <v>336</v>
      </c>
      <c r="D29" s="59">
        <f>SUM(D23:D28)</f>
        <v>194</v>
      </c>
      <c r="E29" s="59">
        <f>SUM(E23:E28)</f>
        <v>75</v>
      </c>
      <c r="F29" s="106">
        <f>AVERAGE(F23:F28)</f>
        <v>0.38605454404942879</v>
      </c>
      <c r="G29" s="59">
        <f>SUM(G23:G28)</f>
        <v>47</v>
      </c>
      <c r="H29" s="65">
        <f>SUM(H23:H28)</f>
        <v>122</v>
      </c>
    </row>
    <row r="30" spans="1:8">
      <c r="A30" s="62">
        <f>'Week 4 Stats'!A5</f>
        <v>41316</v>
      </c>
      <c r="B30" s="33" t="str">
        <f>'Week 4 Stats'!B5</f>
        <v>9#</v>
      </c>
      <c r="C30" s="33">
        <f>'Week 4 Stats'!C5</f>
        <v>33</v>
      </c>
      <c r="D30" s="33">
        <f>'Week 4 Stats'!D5</f>
        <v>12</v>
      </c>
      <c r="E30" s="33">
        <f>'Week 4 Stats'!E5</f>
        <v>16</v>
      </c>
      <c r="F30" s="107">
        <f>'Week 4 Stats'!F5</f>
        <v>1.3333333333333333</v>
      </c>
      <c r="G30" s="33">
        <f>'Week 4 Stats'!G5</f>
        <v>10</v>
      </c>
      <c r="H30" s="63">
        <f>'Week 4 Stats'!H5</f>
        <v>26</v>
      </c>
    </row>
    <row r="31" spans="1:8">
      <c r="A31" s="93">
        <f>'Week 4 Stats'!A6</f>
        <v>41317</v>
      </c>
      <c r="B31" s="94" t="str">
        <f>'Week 4 Stats'!B6</f>
        <v>1#</v>
      </c>
      <c r="C31" s="94">
        <f>'Week 4 Stats'!C6</f>
        <v>97</v>
      </c>
      <c r="D31" s="94">
        <f>'Week 4 Stats'!D6</f>
        <v>51</v>
      </c>
      <c r="E31" s="94">
        <f>'Week 4 Stats'!E6</f>
        <v>25</v>
      </c>
      <c r="F31" s="108">
        <f>'Week 4 Stats'!F6</f>
        <v>0.49019607843137253</v>
      </c>
      <c r="G31" s="94">
        <f>'Week 4 Stats'!G6</f>
        <v>9</v>
      </c>
      <c r="H31" s="63">
        <f>'Week 4 Stats'!H6</f>
        <v>34</v>
      </c>
    </row>
    <row r="32" spans="1:8">
      <c r="A32" s="93">
        <f>'Week 4 Stats'!A7</f>
        <v>41317</v>
      </c>
      <c r="B32" s="94" t="str">
        <f>'Week 4 Stats'!B7</f>
        <v>11C#</v>
      </c>
      <c r="C32" s="94">
        <f>'Week 4 Stats'!C7</f>
        <v>82</v>
      </c>
      <c r="D32" s="94">
        <f>'Week 4 Stats'!D7</f>
        <v>68</v>
      </c>
      <c r="E32" s="94">
        <f>'Week 4 Stats'!E7</f>
        <v>12</v>
      </c>
      <c r="F32" s="108">
        <f>'Week 4 Stats'!F7</f>
        <v>0.17647058823529413</v>
      </c>
      <c r="G32" s="94">
        <f>'Week 4 Stats'!G7</f>
        <v>0</v>
      </c>
      <c r="H32" s="63">
        <f>'Week 4 Stats'!H7</f>
        <v>12</v>
      </c>
    </row>
    <row r="33" spans="1:9">
      <c r="A33" s="62">
        <f>'Week 4 Stats'!A8</f>
        <v>41318</v>
      </c>
      <c r="B33" s="33" t="str">
        <f>'Week 4 Stats'!B8</f>
        <v>11#</v>
      </c>
      <c r="C33" s="33">
        <f>'Week 4 Stats'!C8</f>
        <v>107</v>
      </c>
      <c r="D33" s="33">
        <f>'Week 4 Stats'!D8</f>
        <v>62</v>
      </c>
      <c r="E33" s="33">
        <f>'Week 4 Stats'!E8</f>
        <v>34</v>
      </c>
      <c r="F33" s="107">
        <f>'Week 4 Stats'!F8</f>
        <v>0.54838709677419351</v>
      </c>
      <c r="G33" s="33">
        <f>'Week 4 Stats'!G8</f>
        <v>7</v>
      </c>
      <c r="H33" s="63">
        <f>'Week 4 Stats'!H8</f>
        <v>41</v>
      </c>
    </row>
    <row r="34" spans="1:9">
      <c r="A34" s="62">
        <f>'Week 4 Stats'!A9</f>
        <v>41318</v>
      </c>
      <c r="B34" s="33" t="str">
        <f>'Week 4 Stats'!B9</f>
        <v>16#</v>
      </c>
      <c r="C34" s="33">
        <f>'Week 4 Stats'!C9</f>
        <v>75</v>
      </c>
      <c r="D34" s="33">
        <f>'Week 4 Stats'!D9</f>
        <v>56</v>
      </c>
      <c r="E34" s="33">
        <f>'Week 4 Stats'!E9</f>
        <v>32</v>
      </c>
      <c r="F34" s="107">
        <f>'Week 4 Stats'!F9</f>
        <v>0.5714285714285714</v>
      </c>
      <c r="G34" s="33">
        <f>'Week 4 Stats'!G9</f>
        <v>0</v>
      </c>
      <c r="H34" s="63">
        <f>'Week 4 Stats'!H9</f>
        <v>32</v>
      </c>
    </row>
    <row r="35" spans="1:9">
      <c r="A35" s="93">
        <f>'Week 4 Stats'!A10</f>
        <v>41319</v>
      </c>
      <c r="B35" s="19" t="s">
        <v>20</v>
      </c>
      <c r="C35" s="19">
        <v>54</v>
      </c>
      <c r="D35" s="19">
        <v>30</v>
      </c>
      <c r="E35" s="19">
        <v>12</v>
      </c>
      <c r="F35" s="107">
        <f>'Week 4 Stats'!F10</f>
        <v>0.4</v>
      </c>
      <c r="G35" s="33">
        <f>'Week 4 Stats'!G10</f>
        <v>8</v>
      </c>
      <c r="H35" s="63">
        <f>'Week 4 Stats'!H10</f>
        <v>20</v>
      </c>
    </row>
    <row r="36" spans="1:9">
      <c r="A36" s="93">
        <f>'Week 4 Stats'!A11</f>
        <v>41319</v>
      </c>
      <c r="B36" s="94" t="str">
        <f>'Week 4 Stats'!B11</f>
        <v>E&amp;F</v>
      </c>
      <c r="C36" s="94">
        <f>'Week 4 Stats'!C11</f>
        <v>18</v>
      </c>
      <c r="D36" s="94">
        <f>'Week 4 Stats'!D11</f>
        <v>13</v>
      </c>
      <c r="E36" s="94">
        <f>'Week 4 Stats'!E11</f>
        <v>8</v>
      </c>
      <c r="F36" s="108">
        <f>'Week 4 Stats'!F11</f>
        <v>0.61538461538461542</v>
      </c>
      <c r="G36" s="94">
        <f>'Week 4 Stats'!G11</f>
        <v>0</v>
      </c>
      <c r="H36" s="63">
        <f>'Week 4 Stats'!H11</f>
        <v>8</v>
      </c>
    </row>
    <row r="37" spans="1:9">
      <c r="A37" s="93">
        <f>'Week 4 Stats'!A12</f>
        <v>41320</v>
      </c>
      <c r="B37" s="94" t="s">
        <v>9</v>
      </c>
      <c r="C37" s="94">
        <v>44</v>
      </c>
      <c r="D37" s="94">
        <v>5</v>
      </c>
      <c r="E37" s="94">
        <v>1</v>
      </c>
      <c r="F37" s="108">
        <f>'Week 4 Stats'!F13</f>
        <v>0.2</v>
      </c>
      <c r="G37" s="94">
        <v>4</v>
      </c>
      <c r="H37" s="63">
        <v>5</v>
      </c>
    </row>
    <row r="38" spans="1:9">
      <c r="A38" s="93">
        <f>'Week 4 Stats'!A13</f>
        <v>41320</v>
      </c>
      <c r="B38" s="94" t="s">
        <v>21</v>
      </c>
      <c r="C38" s="94">
        <v>127</v>
      </c>
      <c r="D38" s="94">
        <v>67</v>
      </c>
      <c r="E38" s="94">
        <v>36</v>
      </c>
      <c r="F38" s="108">
        <f>'Week 4 Stats'!F14</f>
        <v>0.88095238095238093</v>
      </c>
      <c r="G38" s="94">
        <v>0</v>
      </c>
      <c r="H38" s="63">
        <v>36</v>
      </c>
    </row>
    <row r="39" spans="1:9" ht="13.5" thickBot="1">
      <c r="A39" s="62">
        <f>'Week 4 Stats'!A14</f>
        <v>41320</v>
      </c>
      <c r="B39" s="33" t="str">
        <f>'Week 4 Stats'!B14</f>
        <v>12#</v>
      </c>
      <c r="C39" s="33">
        <f>'Week 4 Stats'!C14</f>
        <v>77</v>
      </c>
      <c r="D39" s="33">
        <f>'Week 4 Stats'!D14</f>
        <v>42</v>
      </c>
      <c r="E39" s="33">
        <f>'Week 4 Stats'!E14</f>
        <v>37</v>
      </c>
      <c r="F39" s="107">
        <f>'Week 4 Stats'!F14</f>
        <v>0.88095238095238093</v>
      </c>
      <c r="G39" s="33">
        <v>0</v>
      </c>
      <c r="H39" s="63">
        <v>37</v>
      </c>
    </row>
    <row r="40" spans="1:9" ht="13.5" thickBot="1">
      <c r="A40" s="64" t="str">
        <f>'Week 4 Stats'!A15</f>
        <v>Week 4 Total</v>
      </c>
      <c r="B40" s="59">
        <f>SUM(B30:B39)</f>
        <v>0</v>
      </c>
      <c r="C40" s="59">
        <f>SUM(C30:C39)</f>
        <v>714</v>
      </c>
      <c r="D40" s="59">
        <f>SUM(D30:D39)</f>
        <v>406</v>
      </c>
      <c r="E40" s="59">
        <f>SUM(E30:E39)</f>
        <v>213</v>
      </c>
      <c r="F40" s="106">
        <f>AVERAGE(F30:F39)</f>
        <v>0.60971050454921427</v>
      </c>
      <c r="G40" s="59">
        <f>SUM(G30:G39)</f>
        <v>38</v>
      </c>
      <c r="H40" s="65">
        <f>SUM(H30:H39)</f>
        <v>251</v>
      </c>
    </row>
    <row r="41" spans="1:9">
      <c r="A41" s="62">
        <f>'Week 5 Stats'!A5</f>
        <v>41323</v>
      </c>
      <c r="B41" s="33">
        <f>'Week 5 Stats'!B5</f>
        <v>0</v>
      </c>
      <c r="C41" s="33">
        <f>'Week 5 Stats'!C5</f>
        <v>0</v>
      </c>
      <c r="D41" s="33">
        <f>'Week 5 Stats'!D5</f>
        <v>0</v>
      </c>
      <c r="E41" s="33">
        <f>'Week 5 Stats'!E5</f>
        <v>0</v>
      </c>
      <c r="F41" s="107">
        <f>'Week 5 Stats'!F5</f>
        <v>0</v>
      </c>
      <c r="G41" s="33">
        <f>'Week 5 Stats'!G5</f>
        <v>24</v>
      </c>
      <c r="H41" s="63">
        <f>'Week 5 Stats'!H5</f>
        <v>24</v>
      </c>
    </row>
    <row r="42" spans="1:9">
      <c r="A42" s="62">
        <f>'Week 5 Stats'!A7</f>
        <v>41324</v>
      </c>
      <c r="B42" s="33" t="str">
        <f>'Week 5 Stats'!B7</f>
        <v>16#</v>
      </c>
      <c r="C42" s="33">
        <f>'Week 5 Stats'!C7</f>
        <v>94</v>
      </c>
      <c r="D42" s="33">
        <f>'Week 5 Stats'!D7</f>
        <v>58</v>
      </c>
      <c r="E42" s="33">
        <f>'Week 5 Stats'!E7</f>
        <v>21</v>
      </c>
      <c r="F42" s="107">
        <f>'Week 5 Stats'!F7</f>
        <v>0.36206896551724138</v>
      </c>
      <c r="G42" s="33">
        <f>'Week 5 Stats'!G7</f>
        <v>0</v>
      </c>
      <c r="H42" s="63">
        <f>'Week 5 Stats'!H7</f>
        <v>21</v>
      </c>
    </row>
    <row r="43" spans="1:9">
      <c r="A43" s="93">
        <f>'Week 5 Stats'!A8</f>
        <v>41325</v>
      </c>
      <c r="B43" s="94" t="str">
        <f>'Week 5 Stats'!B8</f>
        <v>9#</v>
      </c>
      <c r="C43" s="94">
        <f>'Week 5 Stats'!C8</f>
        <v>22</v>
      </c>
      <c r="D43" s="94">
        <f>'Week 5 Stats'!D8</f>
        <v>12</v>
      </c>
      <c r="E43" s="94">
        <f>'Week 5 Stats'!E8</f>
        <v>8</v>
      </c>
      <c r="F43" s="108">
        <f>'Week 5 Stats'!F8</f>
        <v>0.66666666666666663</v>
      </c>
      <c r="G43" s="94">
        <f>'Week 5 Stats'!G8</f>
        <v>12</v>
      </c>
      <c r="H43" s="63">
        <f>'Week 5 Stats'!H8</f>
        <v>20</v>
      </c>
    </row>
    <row r="44" spans="1:9" ht="13.5" thickBot="1">
      <c r="A44" s="93">
        <f>'Week 5 Stats'!A9</f>
        <v>41325</v>
      </c>
      <c r="B44" s="94" t="str">
        <f>'Week 5 Stats'!B9</f>
        <v>10#</v>
      </c>
      <c r="C44" s="94">
        <f>'Week 5 Stats'!C9</f>
        <v>22</v>
      </c>
      <c r="D44" s="94">
        <f>'Week 5 Stats'!D9</f>
        <v>14</v>
      </c>
      <c r="E44" s="94">
        <f>'Week 5 Stats'!E9</f>
        <v>9</v>
      </c>
      <c r="F44" s="108">
        <f>'Week 5 Stats'!F9</f>
        <v>0.6428571428571429</v>
      </c>
      <c r="G44" s="94">
        <f>'Week 5 Stats'!G9</f>
        <v>0</v>
      </c>
      <c r="H44" s="63">
        <f>'Week 5 Stats'!H9</f>
        <v>9</v>
      </c>
    </row>
    <row r="45" spans="1:9" ht="13.5" thickBot="1">
      <c r="A45" s="64" t="str">
        <f>'Week 5 Stats'!A10</f>
        <v>Week 5 Total</v>
      </c>
      <c r="B45" s="59">
        <f>SUM(B41:B44)</f>
        <v>0</v>
      </c>
      <c r="C45" s="59">
        <f>SUM(C41:C44)</f>
        <v>138</v>
      </c>
      <c r="D45" s="59">
        <f>SUM(D41:D44)</f>
        <v>84</v>
      </c>
      <c r="E45" s="59">
        <f>SUM(E41:E44)</f>
        <v>38</v>
      </c>
      <c r="F45" s="106">
        <f>AVERAGE(F41:F44)</f>
        <v>0.41789819376026272</v>
      </c>
      <c r="G45" s="59">
        <f>SUM(G41:G44)</f>
        <v>36</v>
      </c>
      <c r="H45" s="65">
        <f>SUM(H41:H44)</f>
        <v>74</v>
      </c>
    </row>
    <row r="46" spans="1:9">
      <c r="A46" s="66" t="s">
        <v>57</v>
      </c>
      <c r="B46" s="67">
        <f>SUM(B14+B22+B29+B40+B45)</f>
        <v>0</v>
      </c>
      <c r="C46" s="67">
        <f>SUM(C14+C22+C29+C40+C45)</f>
        <v>1907</v>
      </c>
      <c r="D46" s="67">
        <f>SUM(D14+D22+D29+D40+D45)</f>
        <v>1120</v>
      </c>
      <c r="E46" s="67">
        <f>SUM(E14+E22+E29+E40+E45)</f>
        <v>526</v>
      </c>
      <c r="F46" s="109">
        <f>AVERAGE(F14+F22+F29+F40+F45)</f>
        <v>2.2254094702099092</v>
      </c>
      <c r="G46" s="67">
        <f>SUM(G14+G22+G29+G40+G45)</f>
        <v>194</v>
      </c>
      <c r="H46" s="68">
        <f>SUM(H14+H22+H29+H40+H45)</f>
        <v>720</v>
      </c>
    </row>
    <row r="47" spans="1:9" ht="26.25">
      <c r="A47" s="142">
        <f>A1</f>
        <v>41233</v>
      </c>
      <c r="B47" s="142"/>
      <c r="C47" s="142"/>
      <c r="D47" s="142"/>
      <c r="E47" s="142"/>
      <c r="F47" s="142"/>
      <c r="G47" s="142"/>
      <c r="H47" s="142"/>
      <c r="I47" s="142"/>
    </row>
    <row r="48" spans="1:9" ht="13.5" thickBot="1"/>
    <row r="49" spans="1:9" ht="21" thickBot="1">
      <c r="A49" s="139" t="s">
        <v>39</v>
      </c>
      <c r="B49" s="140"/>
      <c r="C49" s="140"/>
      <c r="D49" s="140"/>
      <c r="E49" s="140"/>
      <c r="F49" s="140"/>
      <c r="G49" s="140"/>
      <c r="H49" s="140"/>
      <c r="I49" s="141"/>
    </row>
    <row r="50" spans="1:9" s="26" customFormat="1" ht="80.25" customHeight="1" thickBot="1">
      <c r="A50" s="40" t="s">
        <v>0</v>
      </c>
      <c r="B50" s="41" t="s">
        <v>1</v>
      </c>
      <c r="C50" s="41" t="s">
        <v>33</v>
      </c>
      <c r="D50" s="41" t="s">
        <v>34</v>
      </c>
      <c r="E50" s="41" t="s">
        <v>35</v>
      </c>
      <c r="F50" s="41" t="s">
        <v>36</v>
      </c>
      <c r="G50" s="41" t="s">
        <v>37</v>
      </c>
      <c r="H50" s="41" t="s">
        <v>38</v>
      </c>
      <c r="I50" s="42" t="s">
        <v>23</v>
      </c>
    </row>
    <row r="51" spans="1:9" s="4" customFormat="1">
      <c r="A51" s="97">
        <f>'Week 1 Stats'!A20</f>
        <v>41295</v>
      </c>
      <c r="B51" s="98" t="str">
        <f>'Week 1 Stats'!B20</f>
        <v>2#</v>
      </c>
      <c r="C51" s="98">
        <f>'Week 1 Stats'!C20</f>
        <v>0</v>
      </c>
      <c r="D51" s="98">
        <f>'Week 1 Stats'!D20</f>
        <v>31</v>
      </c>
      <c r="E51" s="98">
        <f>'Week 1 Stats'!E20</f>
        <v>3</v>
      </c>
      <c r="F51" s="98">
        <f>'Week 1 Stats'!F20</f>
        <v>0</v>
      </c>
      <c r="G51" s="98">
        <f>'Week 1 Stats'!G20</f>
        <v>4</v>
      </c>
      <c r="H51" s="98">
        <f>'Week 1 Stats'!H20</f>
        <v>0</v>
      </c>
      <c r="I51" s="23">
        <f>'Week 1 Stats'!I20</f>
        <v>38</v>
      </c>
    </row>
    <row r="52" spans="1:9" s="4" customFormat="1">
      <c r="A52" s="97">
        <f>'Week 1 Stats'!A21</f>
        <v>41295</v>
      </c>
      <c r="B52" s="98" t="str">
        <f>'Week 1 Stats'!B21</f>
        <v>1#</v>
      </c>
      <c r="C52" s="98">
        <f>'Week 1 Stats'!C21</f>
        <v>0</v>
      </c>
      <c r="D52" s="98">
        <f>'Week 1 Stats'!D21</f>
        <v>5</v>
      </c>
      <c r="E52" s="98">
        <f>'Week 1 Stats'!E21</f>
        <v>8</v>
      </c>
      <c r="F52" s="98">
        <f>'Week 1 Stats'!F21</f>
        <v>0</v>
      </c>
      <c r="G52" s="98">
        <f>'Week 1 Stats'!G21</f>
        <v>9</v>
      </c>
      <c r="H52" s="98">
        <f>'Week 1 Stats'!H21</f>
        <v>0</v>
      </c>
      <c r="I52" s="23">
        <f>'Week 1 Stats'!I21</f>
        <v>22</v>
      </c>
    </row>
    <row r="53" spans="1:9" s="4" customFormat="1">
      <c r="A53" s="95">
        <f>'Week 1 Stats'!A22</f>
        <v>41296</v>
      </c>
      <c r="B53" s="96" t="str">
        <f>'Week 1 Stats'!B22</f>
        <v>20#</v>
      </c>
      <c r="C53" s="96">
        <f>'Week 1 Stats'!C22</f>
        <v>0</v>
      </c>
      <c r="D53" s="96">
        <f>'Week 1 Stats'!D22</f>
        <v>21</v>
      </c>
      <c r="E53" s="96">
        <f>'Week 1 Stats'!E22</f>
        <v>10</v>
      </c>
      <c r="F53" s="96">
        <f>'Week 1 Stats'!F22</f>
        <v>0</v>
      </c>
      <c r="G53" s="96">
        <f>'Week 1 Stats'!G22</f>
        <v>16</v>
      </c>
      <c r="H53" s="96">
        <f>'Week 1 Stats'!H22</f>
        <v>3</v>
      </c>
      <c r="I53" s="23">
        <f>'Week 1 Stats'!I22</f>
        <v>50</v>
      </c>
    </row>
    <row r="54" spans="1:9" s="4" customFormat="1">
      <c r="A54" s="37">
        <f>'Week 1 Stats'!A23</f>
        <v>41297</v>
      </c>
      <c r="B54" s="38" t="str">
        <f>'Week 1 Stats'!B23</f>
        <v>11C#</v>
      </c>
      <c r="C54" s="38">
        <f>'Week 1 Stats'!C23</f>
        <v>0</v>
      </c>
      <c r="D54" s="38">
        <f>'Week 1 Stats'!D23</f>
        <v>10</v>
      </c>
      <c r="E54" s="38">
        <f>'Week 1 Stats'!E23</f>
        <v>2</v>
      </c>
      <c r="F54" s="38">
        <f>'Week 1 Stats'!F23</f>
        <v>0</v>
      </c>
      <c r="G54" s="38">
        <f>'Week 1 Stats'!G23</f>
        <v>2</v>
      </c>
      <c r="H54" s="38">
        <f>'Week 1 Stats'!H23</f>
        <v>2</v>
      </c>
      <c r="I54" s="23">
        <f>'Week 1 Stats'!I23</f>
        <v>16</v>
      </c>
    </row>
    <row r="55" spans="1:9" s="4" customFormat="1">
      <c r="A55" s="97">
        <f>'Week 1 Stats'!A24</f>
        <v>41297</v>
      </c>
      <c r="B55" s="98" t="str">
        <f>'Week 1 Stats'!B24</f>
        <v>4#</v>
      </c>
      <c r="C55" s="98">
        <f>'Week 1 Stats'!C24</f>
        <v>2</v>
      </c>
      <c r="D55" s="98">
        <f>'Week 1 Stats'!D24</f>
        <v>4</v>
      </c>
      <c r="E55" s="98">
        <f>'Week 1 Stats'!E24</f>
        <v>1</v>
      </c>
      <c r="F55" s="98">
        <f>'Week 1 Stats'!F24</f>
        <v>0</v>
      </c>
      <c r="G55" s="98">
        <f>'Week 1 Stats'!G24</f>
        <v>0</v>
      </c>
      <c r="H55" s="98">
        <f>'Week 1 Stats'!H24</f>
        <v>2</v>
      </c>
      <c r="I55" s="23">
        <f>'Week 1 Stats'!I24</f>
        <v>9</v>
      </c>
    </row>
    <row r="56" spans="1:9" s="4" customFormat="1">
      <c r="A56" s="95">
        <f>'Week 1 Stats'!A25</f>
        <v>41298</v>
      </c>
      <c r="B56" s="96" t="str">
        <f>'Week 1 Stats'!B25</f>
        <v>6#</v>
      </c>
      <c r="C56" s="96">
        <f>'Week 1 Stats'!C25</f>
        <v>0</v>
      </c>
      <c r="D56" s="96">
        <f>'Week 1 Stats'!D25</f>
        <v>1</v>
      </c>
      <c r="E56" s="96">
        <f>'Week 1 Stats'!E25</f>
        <v>3</v>
      </c>
      <c r="F56" s="96">
        <f>'Week 1 Stats'!F25</f>
        <v>0</v>
      </c>
      <c r="G56" s="96">
        <f>'Week 1 Stats'!G25</f>
        <v>0</v>
      </c>
      <c r="H56" s="96">
        <f>'Week 1 Stats'!H25</f>
        <v>2</v>
      </c>
      <c r="I56" s="23">
        <f>'Week 1 Stats'!I25</f>
        <v>6</v>
      </c>
    </row>
    <row r="57" spans="1:9" s="4" customFormat="1">
      <c r="A57" s="95">
        <f>'Week 1 Stats'!A26</f>
        <v>41298</v>
      </c>
      <c r="B57" s="96" t="str">
        <f>'Week 1 Stats'!B26</f>
        <v>14#</v>
      </c>
      <c r="C57" s="96">
        <f>'Week 1 Stats'!C26</f>
        <v>0</v>
      </c>
      <c r="D57" s="96">
        <f>'Week 1 Stats'!D26</f>
        <v>8</v>
      </c>
      <c r="E57" s="96">
        <f>'Week 1 Stats'!E26</f>
        <v>0</v>
      </c>
      <c r="F57" s="96">
        <f>'Week 1 Stats'!F26</f>
        <v>0</v>
      </c>
      <c r="G57" s="96">
        <f>'Week 1 Stats'!G26</f>
        <v>0</v>
      </c>
      <c r="H57" s="96">
        <f>'Week 1 Stats'!H26</f>
        <v>2</v>
      </c>
      <c r="I57" s="23">
        <f>'Week 1 Stats'!I26</f>
        <v>10</v>
      </c>
    </row>
    <row r="58" spans="1:9" s="4" customFormat="1">
      <c r="A58" s="37">
        <f>'Week 1 Stats'!A27</f>
        <v>41299</v>
      </c>
      <c r="B58" s="38" t="str">
        <f>'Week 1 Stats'!B27</f>
        <v>9#</v>
      </c>
      <c r="C58" s="38">
        <f>'Week 1 Stats'!C27</f>
        <v>0</v>
      </c>
      <c r="D58" s="38">
        <f>'Week 1 Stats'!D27</f>
        <v>8</v>
      </c>
      <c r="E58" s="38">
        <f>'Week 1 Stats'!E27</f>
        <v>0</v>
      </c>
      <c r="F58" s="38">
        <f>'Week 1 Stats'!F27</f>
        <v>0</v>
      </c>
      <c r="G58" s="38">
        <f>'Week 1 Stats'!G27</f>
        <v>7</v>
      </c>
      <c r="H58" s="38">
        <f>'Week 1 Stats'!H27</f>
        <v>0</v>
      </c>
      <c r="I58" s="23">
        <f>'Week 1 Stats'!I27</f>
        <v>15</v>
      </c>
    </row>
    <row r="59" spans="1:9" s="4" customFormat="1" ht="13.5" thickBot="1">
      <c r="A59" s="97">
        <f>'Week 1 Stats'!A28</f>
        <v>41299</v>
      </c>
      <c r="B59" s="98" t="str">
        <f>'Week 1 Stats'!B28</f>
        <v>10#</v>
      </c>
      <c r="C59" s="98">
        <f>'Week 1 Stats'!C28</f>
        <v>0</v>
      </c>
      <c r="D59" s="98">
        <f>'Week 1 Stats'!D28</f>
        <v>12</v>
      </c>
      <c r="E59" s="98">
        <f>'Week 1 Stats'!E28</f>
        <v>0</v>
      </c>
      <c r="F59" s="98">
        <f>'Week 1 Stats'!F28</f>
        <v>0</v>
      </c>
      <c r="G59" s="98">
        <f>'Week 1 Stats'!G28</f>
        <v>0</v>
      </c>
      <c r="H59" s="98">
        <f>'Week 1 Stats'!H28</f>
        <v>2</v>
      </c>
      <c r="I59" s="23">
        <f>'Week 1 Stats'!I28</f>
        <v>14</v>
      </c>
    </row>
    <row r="60" spans="1:9" s="4" customFormat="1" ht="13.5" thickBot="1">
      <c r="A60" s="64" t="str">
        <f>'Week 1 Stats'!A29</f>
        <v>Week 1 Total</v>
      </c>
      <c r="B60" s="59"/>
      <c r="C60" s="59">
        <f t="shared" ref="C60:I60" si="0">SUM(C51:C59)</f>
        <v>2</v>
      </c>
      <c r="D60" s="59">
        <f t="shared" si="0"/>
        <v>100</v>
      </c>
      <c r="E60" s="59">
        <f t="shared" si="0"/>
        <v>27</v>
      </c>
      <c r="F60" s="59">
        <f t="shared" si="0"/>
        <v>0</v>
      </c>
      <c r="G60" s="59">
        <f t="shared" si="0"/>
        <v>38</v>
      </c>
      <c r="H60" s="59">
        <f t="shared" si="0"/>
        <v>13</v>
      </c>
      <c r="I60" s="59">
        <f t="shared" si="0"/>
        <v>180</v>
      </c>
    </row>
    <row r="61" spans="1:9" s="4" customFormat="1">
      <c r="A61" s="97">
        <f>'Week 2 Stats'!A18</f>
        <v>41302</v>
      </c>
      <c r="B61" s="98" t="str">
        <f>'Week 2 Stats'!B18</f>
        <v>16#</v>
      </c>
      <c r="C61" s="98">
        <f>'Week 2 Stats'!C18</f>
        <v>0</v>
      </c>
      <c r="D61" s="98">
        <f>'Week 2 Stats'!D18</f>
        <v>8</v>
      </c>
      <c r="E61" s="98">
        <f>'Week 2 Stats'!E18</f>
        <v>1</v>
      </c>
      <c r="F61" s="98">
        <f>'Week 2 Stats'!F18</f>
        <v>0</v>
      </c>
      <c r="G61" s="98">
        <f>'Week 2 Stats'!G18</f>
        <v>0</v>
      </c>
      <c r="H61" s="98">
        <f>'Week 2 Stats'!H18</f>
        <v>1</v>
      </c>
      <c r="I61" s="23">
        <f>'Week 2 Stats'!I18</f>
        <v>10</v>
      </c>
    </row>
    <row r="62" spans="1:9" s="4" customFormat="1">
      <c r="A62" s="97">
        <f>'Week 2 Stats'!A19</f>
        <v>41302</v>
      </c>
      <c r="B62" s="125" t="s">
        <v>20</v>
      </c>
      <c r="C62" s="58">
        <v>0</v>
      </c>
      <c r="D62" s="58">
        <v>4</v>
      </c>
      <c r="E62" s="58">
        <v>0</v>
      </c>
      <c r="F62" s="58">
        <v>0</v>
      </c>
      <c r="G62" s="58">
        <v>11</v>
      </c>
      <c r="H62" s="58">
        <v>0</v>
      </c>
      <c r="I62" s="23">
        <f>Table7118[[#This Row],[Leave]]+Table7118[[#This Row],[Discharged]]+Table7118[[#This Row],[Transferred to other Shaft / Area]]+Table7118[[#This Row],[Sick Leave]]+Table7118[[#This Row],[Training]]+Table7118[[#This Row],[Other]]</f>
        <v>15</v>
      </c>
    </row>
    <row r="63" spans="1:9" s="4" customFormat="1">
      <c r="A63" s="95">
        <f>'Week 2 Stats'!A20</f>
        <v>41303</v>
      </c>
      <c r="B63" s="96" t="str">
        <f>'Week 2 Stats'!B20</f>
        <v>11C#</v>
      </c>
      <c r="C63" s="96">
        <f>'Week 2 Stats'!C20</f>
        <v>0</v>
      </c>
      <c r="D63" s="96">
        <f>'Week 2 Stats'!D20</f>
        <v>8</v>
      </c>
      <c r="E63" s="96">
        <f>'Week 2 Stats'!E20</f>
        <v>0</v>
      </c>
      <c r="F63" s="96">
        <f>'Week 2 Stats'!F20</f>
        <v>0</v>
      </c>
      <c r="G63" s="96">
        <f>'Week 2 Stats'!G20</f>
        <v>4</v>
      </c>
      <c r="H63" s="96">
        <f>'Week 2 Stats'!H20</f>
        <v>0</v>
      </c>
      <c r="I63" s="23">
        <f>'Week 2 Stats'!I20</f>
        <v>12</v>
      </c>
    </row>
    <row r="64" spans="1:9" s="4" customFormat="1">
      <c r="A64" s="95">
        <f>'Week 2 Stats'!A21</f>
        <v>41303</v>
      </c>
      <c r="B64" s="96" t="str">
        <f>'Week 2 Stats'!B21</f>
        <v>11#</v>
      </c>
      <c r="C64" s="96">
        <f>'Week 2 Stats'!C21</f>
        <v>1</v>
      </c>
      <c r="D64" s="96">
        <f>'Week 2 Stats'!D21</f>
        <v>8</v>
      </c>
      <c r="E64" s="96">
        <f>'Week 2 Stats'!E21</f>
        <v>2</v>
      </c>
      <c r="F64" s="96">
        <f>'Week 2 Stats'!F21</f>
        <v>0</v>
      </c>
      <c r="G64" s="96">
        <f>'Week 2 Stats'!G21</f>
        <v>6</v>
      </c>
      <c r="H64" s="96">
        <f>'Week 2 Stats'!H21</f>
        <v>0</v>
      </c>
      <c r="I64" s="23">
        <f>'Week 2 Stats'!I21</f>
        <v>17</v>
      </c>
    </row>
    <row r="65" spans="1:9" s="4" customFormat="1">
      <c r="A65" s="97">
        <f>'Week 2 Stats'!A22</f>
        <v>41304</v>
      </c>
      <c r="B65" s="98" t="str">
        <f>'Week 2 Stats'!B22</f>
        <v>6#</v>
      </c>
      <c r="C65" s="98">
        <f>'Week 2 Stats'!C22</f>
        <v>0</v>
      </c>
      <c r="D65" s="98">
        <f>'Week 2 Stats'!D22</f>
        <v>0</v>
      </c>
      <c r="E65" s="98">
        <f>'Week 2 Stats'!E22</f>
        <v>0</v>
      </c>
      <c r="F65" s="98">
        <f>'Week 2 Stats'!F22</f>
        <v>0</v>
      </c>
      <c r="G65" s="98">
        <f>'Week 2 Stats'!G22</f>
        <v>0</v>
      </c>
      <c r="H65" s="98">
        <f>'Week 2 Stats'!H22</f>
        <v>12</v>
      </c>
      <c r="I65" s="23">
        <f>'Week 2 Stats'!I22</f>
        <v>12</v>
      </c>
    </row>
    <row r="66" spans="1:9" s="4" customFormat="1">
      <c r="A66" s="95">
        <f>'Week 2 Stats'!A23</f>
        <v>41305</v>
      </c>
      <c r="B66" s="96" t="str">
        <f>'Week 2 Stats'!B23</f>
        <v>11C#</v>
      </c>
      <c r="C66" s="96">
        <f>'Week 2 Stats'!C23</f>
        <v>0</v>
      </c>
      <c r="D66" s="96">
        <f>'Week 2 Stats'!D23</f>
        <v>4</v>
      </c>
      <c r="E66" s="96">
        <f>'Week 2 Stats'!E23</f>
        <v>3</v>
      </c>
      <c r="F66" s="96">
        <f>'Week 2 Stats'!F23</f>
        <v>0</v>
      </c>
      <c r="G66" s="96">
        <f>'Week 2 Stats'!G23</f>
        <v>1</v>
      </c>
      <c r="H66" s="96">
        <f>'Week 2 Stats'!H23</f>
        <v>0</v>
      </c>
      <c r="I66" s="23">
        <f>'Week 2 Stats'!I23</f>
        <v>8</v>
      </c>
    </row>
    <row r="67" spans="1:9" s="4" customFormat="1" ht="13.5" thickBot="1">
      <c r="A67" s="97">
        <f>'Week 2 Stats'!A24</f>
        <v>41306</v>
      </c>
      <c r="B67" s="98" t="str">
        <f>'Week 2 Stats'!B24</f>
        <v>12#</v>
      </c>
      <c r="C67" s="98">
        <f>'Week 2 Stats'!C24</f>
        <v>0</v>
      </c>
      <c r="D67" s="98">
        <f>'Week 2 Stats'!D24</f>
        <v>7</v>
      </c>
      <c r="E67" s="98">
        <f>'Week 2 Stats'!E24</f>
        <v>11</v>
      </c>
      <c r="F67" s="98">
        <f>'Week 2 Stats'!F24</f>
        <v>0</v>
      </c>
      <c r="G67" s="98">
        <f>'Week 2 Stats'!G24</f>
        <v>11</v>
      </c>
      <c r="H67" s="98">
        <f>'Week 2 Stats'!H24</f>
        <v>0</v>
      </c>
      <c r="I67" s="23">
        <f>'Week 2 Stats'!I24</f>
        <v>29</v>
      </c>
    </row>
    <row r="68" spans="1:9" s="4" customFormat="1" ht="13.5" thickBot="1">
      <c r="A68" s="64" t="str">
        <f>'Week 2 Stats'!A25</f>
        <v>Week 2 Total</v>
      </c>
      <c r="B68" s="73"/>
      <c r="C68" s="73">
        <f t="shared" ref="C68:I68" si="1">SUM(C61:C67)</f>
        <v>1</v>
      </c>
      <c r="D68" s="73">
        <f t="shared" si="1"/>
        <v>39</v>
      </c>
      <c r="E68" s="73">
        <f t="shared" si="1"/>
        <v>17</v>
      </c>
      <c r="F68" s="73">
        <f t="shared" si="1"/>
        <v>0</v>
      </c>
      <c r="G68" s="73">
        <f t="shared" si="1"/>
        <v>33</v>
      </c>
      <c r="H68" s="73">
        <f t="shared" si="1"/>
        <v>13</v>
      </c>
      <c r="I68" s="74">
        <f t="shared" si="1"/>
        <v>103</v>
      </c>
    </row>
    <row r="69" spans="1:9" s="4" customFormat="1">
      <c r="A69" s="37">
        <f>'Week 3 Stats'!A17</f>
        <v>41309</v>
      </c>
      <c r="B69" s="38" t="str">
        <f>'Week 3 Stats'!B17</f>
        <v>8#</v>
      </c>
      <c r="C69" s="38">
        <f>'Week 3 Stats'!C17</f>
        <v>0</v>
      </c>
      <c r="D69" s="38">
        <f>'Week 3 Stats'!D17</f>
        <v>0</v>
      </c>
      <c r="E69" s="38">
        <f>'Week 3 Stats'!E17</f>
        <v>0</v>
      </c>
      <c r="F69" s="38">
        <f>'Week 3 Stats'!F17</f>
        <v>0</v>
      </c>
      <c r="G69" s="38">
        <f>'Week 3 Stats'!G17</f>
        <v>0</v>
      </c>
      <c r="H69" s="38">
        <f>'Week 3 Stats'!H17</f>
        <v>2</v>
      </c>
      <c r="I69" s="39">
        <f>'Week 3 Stats'!I17</f>
        <v>2</v>
      </c>
    </row>
    <row r="70" spans="1:9" s="4" customFormat="1">
      <c r="A70" s="95">
        <f>'Week 3 Stats'!A18</f>
        <v>41310</v>
      </c>
      <c r="B70" s="96" t="str">
        <f>'Week 3 Stats'!B18</f>
        <v>20#</v>
      </c>
      <c r="C70" s="96">
        <f>'Week 3 Stats'!C18</f>
        <v>0</v>
      </c>
      <c r="D70" s="96">
        <f>'Week 3 Stats'!D18</f>
        <v>12</v>
      </c>
      <c r="E70" s="96">
        <f>'Week 3 Stats'!E18</f>
        <v>9</v>
      </c>
      <c r="F70" s="96">
        <f>'Week 3 Stats'!F18</f>
        <v>0</v>
      </c>
      <c r="G70" s="96">
        <f>'Week 3 Stats'!G18</f>
        <v>0</v>
      </c>
      <c r="H70" s="96">
        <f>'Week 3 Stats'!H18</f>
        <v>4</v>
      </c>
      <c r="I70" s="39">
        <f>'Week 3 Stats'!I18</f>
        <v>25</v>
      </c>
    </row>
    <row r="71" spans="1:9" s="4" customFormat="1">
      <c r="A71" s="37">
        <f>'Week 3 Stats'!A19</f>
        <v>41310</v>
      </c>
      <c r="B71" s="38" t="str">
        <f>'Week 3 Stats'!B19</f>
        <v>2#</v>
      </c>
      <c r="C71" s="38">
        <f>'Week 3 Stats'!C19</f>
        <v>0</v>
      </c>
      <c r="D71" s="38">
        <f>'Week 3 Stats'!D19</f>
        <v>30</v>
      </c>
      <c r="E71" s="38">
        <f>'Week 3 Stats'!E19</f>
        <v>7</v>
      </c>
      <c r="F71" s="38">
        <f>'Week 3 Stats'!F19</f>
        <v>0</v>
      </c>
      <c r="G71" s="38">
        <f>'Week 3 Stats'!G19</f>
        <v>1</v>
      </c>
      <c r="H71" s="38">
        <f>'Week 3 Stats'!H19</f>
        <v>0</v>
      </c>
      <c r="I71" s="39">
        <f>'Week 3 Stats'!I19</f>
        <v>38</v>
      </c>
    </row>
    <row r="72" spans="1:9" s="4" customFormat="1">
      <c r="A72" s="37">
        <f>'Week 3 Stats'!A20</f>
        <v>41311</v>
      </c>
      <c r="B72" s="38" t="str">
        <f>'Week 3 Stats'!B20</f>
        <v>10#</v>
      </c>
      <c r="C72" s="38">
        <f>'Week 3 Stats'!C20</f>
        <v>3</v>
      </c>
      <c r="D72" s="38">
        <f>'Week 3 Stats'!D20</f>
        <v>9</v>
      </c>
      <c r="E72" s="38">
        <f>'Week 3 Stats'!E20</f>
        <v>6</v>
      </c>
      <c r="F72" s="38">
        <f>'Week 3 Stats'!F20</f>
        <v>3</v>
      </c>
      <c r="G72" s="38">
        <f>'Week 3 Stats'!G20</f>
        <v>7</v>
      </c>
      <c r="H72" s="38">
        <f>'Week 3 Stats'!H20</f>
        <v>0</v>
      </c>
      <c r="I72" s="39">
        <f>'Week 3 Stats'!I20</f>
        <v>28</v>
      </c>
    </row>
    <row r="73" spans="1:9" s="4" customFormat="1">
      <c r="A73" s="37">
        <f>'Week 3 Stats'!A21</f>
        <v>41312</v>
      </c>
      <c r="B73" s="38" t="str">
        <f>'Week 3 Stats'!B21</f>
        <v>14#</v>
      </c>
      <c r="C73" s="38">
        <f>'Week 3 Stats'!C21</f>
        <v>0</v>
      </c>
      <c r="D73" s="38">
        <f>'Week 3 Stats'!D21</f>
        <v>10</v>
      </c>
      <c r="E73" s="38">
        <f>'Week 3 Stats'!E21</f>
        <v>7</v>
      </c>
      <c r="F73" s="38">
        <f>'Week 3 Stats'!F21</f>
        <v>0</v>
      </c>
      <c r="G73" s="38">
        <f>'Week 3 Stats'!G21</f>
        <v>0</v>
      </c>
      <c r="H73" s="38">
        <f>'Week 3 Stats'!H21</f>
        <v>4</v>
      </c>
      <c r="I73" s="39">
        <f>'Week 3 Stats'!I21</f>
        <v>21</v>
      </c>
    </row>
    <row r="74" spans="1:9" s="4" customFormat="1" ht="13.5" thickBot="1">
      <c r="A74" s="37">
        <f>'Week 3 Stats'!A22</f>
        <v>41313</v>
      </c>
      <c r="B74" s="38" t="str">
        <f>'Week 3 Stats'!B22</f>
        <v>11C#</v>
      </c>
      <c r="C74" s="38">
        <f>'Week 3 Stats'!C22</f>
        <v>3</v>
      </c>
      <c r="D74" s="38">
        <f>'Week 3 Stats'!D22</f>
        <v>9</v>
      </c>
      <c r="E74" s="38">
        <f>'Week 3 Stats'!E22</f>
        <v>2</v>
      </c>
      <c r="F74" s="38">
        <f>'Week 3 Stats'!F22</f>
        <v>2</v>
      </c>
      <c r="G74" s="38">
        <f>'Week 3 Stats'!G22</f>
        <v>12</v>
      </c>
      <c r="H74" s="38">
        <f>'Week 3 Stats'!H22</f>
        <v>0</v>
      </c>
      <c r="I74" s="39">
        <f>'Week 3 Stats'!I22</f>
        <v>28</v>
      </c>
    </row>
    <row r="75" spans="1:9" s="4" customFormat="1" ht="13.5" thickBot="1">
      <c r="A75" s="64" t="str">
        <f>'Week 3 Stats'!A23</f>
        <v>Week 3 Total</v>
      </c>
      <c r="B75" s="73"/>
      <c r="C75" s="73">
        <f t="shared" ref="C75:I75" si="2">SUM(C69:C74)</f>
        <v>6</v>
      </c>
      <c r="D75" s="73">
        <f t="shared" si="2"/>
        <v>70</v>
      </c>
      <c r="E75" s="73">
        <f t="shared" si="2"/>
        <v>31</v>
      </c>
      <c r="F75" s="73">
        <f t="shared" si="2"/>
        <v>5</v>
      </c>
      <c r="G75" s="73">
        <f t="shared" si="2"/>
        <v>20</v>
      </c>
      <c r="H75" s="73">
        <f t="shared" si="2"/>
        <v>10</v>
      </c>
      <c r="I75" s="74">
        <f t="shared" si="2"/>
        <v>142</v>
      </c>
    </row>
    <row r="76" spans="1:9" s="4" customFormat="1">
      <c r="A76" s="97">
        <f>'Week 4 Stats'!A21</f>
        <v>41316</v>
      </c>
      <c r="B76" s="98" t="str">
        <f>'Week 4 Stats'!B21</f>
        <v>9#</v>
      </c>
      <c r="C76" s="98">
        <f>'Week 4 Stats'!C21</f>
        <v>0</v>
      </c>
      <c r="D76" s="98">
        <f>'Week 4 Stats'!D21</f>
        <v>13</v>
      </c>
      <c r="E76" s="98">
        <f>'Week 4 Stats'!E21</f>
        <v>0</v>
      </c>
      <c r="F76" s="98">
        <f>'Week 4 Stats'!F21</f>
        <v>0</v>
      </c>
      <c r="G76" s="98">
        <f>'Week 4 Stats'!G21</f>
        <v>8</v>
      </c>
      <c r="H76" s="98">
        <f>'Week 4 Stats'!H21</f>
        <v>0</v>
      </c>
      <c r="I76" s="39">
        <f>'Week 4 Stats'!I21</f>
        <v>21</v>
      </c>
    </row>
    <row r="77" spans="1:9" s="4" customFormat="1">
      <c r="A77" s="37">
        <f>'Week 4 Stats'!A22</f>
        <v>41317</v>
      </c>
      <c r="B77" s="38" t="str">
        <f>'Week 4 Stats'!B22</f>
        <v>1#</v>
      </c>
      <c r="C77" s="38">
        <f>'Week 4 Stats'!C22</f>
        <v>0</v>
      </c>
      <c r="D77" s="38">
        <f>'Week 4 Stats'!D22</f>
        <v>2</v>
      </c>
      <c r="E77" s="38">
        <f>'Week 4 Stats'!E22</f>
        <v>4</v>
      </c>
      <c r="F77" s="38">
        <f>'Week 4 Stats'!F22</f>
        <v>2</v>
      </c>
      <c r="G77" s="38">
        <f>'Week 4 Stats'!G22</f>
        <v>38</v>
      </c>
      <c r="H77" s="38">
        <f>'Week 4 Stats'!H22</f>
        <v>0</v>
      </c>
      <c r="I77" s="39">
        <f>'Week 4 Stats'!I22</f>
        <v>46</v>
      </c>
    </row>
    <row r="78" spans="1:9" s="4" customFormat="1">
      <c r="A78" s="95">
        <f>'Week 4 Stats'!A23</f>
        <v>41317</v>
      </c>
      <c r="B78" s="96" t="str">
        <f>'Week 4 Stats'!B23</f>
        <v>11C#</v>
      </c>
      <c r="C78" s="96">
        <f>'Week 4 Stats'!C23</f>
        <v>0</v>
      </c>
      <c r="D78" s="96">
        <f>'Week 4 Stats'!D23</f>
        <v>8</v>
      </c>
      <c r="E78" s="96">
        <f>'Week 4 Stats'!E23</f>
        <v>0</v>
      </c>
      <c r="F78" s="96">
        <f>'Week 4 Stats'!F23</f>
        <v>0</v>
      </c>
      <c r="G78" s="96">
        <f>'Week 4 Stats'!G23</f>
        <v>3</v>
      </c>
      <c r="H78" s="96">
        <f>'Week 4 Stats'!H23</f>
        <v>3</v>
      </c>
      <c r="I78" s="39">
        <f>'Week 4 Stats'!I23</f>
        <v>14</v>
      </c>
    </row>
    <row r="79" spans="1:9" s="4" customFormat="1">
      <c r="A79" s="97">
        <f>'Week 4 Stats'!A24</f>
        <v>41318</v>
      </c>
      <c r="B79" s="98" t="str">
        <f>'Week 4 Stats'!B24</f>
        <v>11#</v>
      </c>
      <c r="C79" s="98">
        <f>'Week 4 Stats'!C24</f>
        <v>4</v>
      </c>
      <c r="D79" s="98">
        <f>'Week 4 Stats'!D24</f>
        <v>8</v>
      </c>
      <c r="E79" s="98">
        <f>'Week 4 Stats'!E24</f>
        <v>11</v>
      </c>
      <c r="F79" s="98">
        <f>'Week 4 Stats'!F24</f>
        <v>0</v>
      </c>
      <c r="G79" s="98">
        <f>'Week 4 Stats'!G24</f>
        <v>19</v>
      </c>
      <c r="H79" s="98">
        <f>'Week 4 Stats'!H24</f>
        <v>3</v>
      </c>
      <c r="I79" s="39">
        <f>'Week 4 Stats'!I24</f>
        <v>45</v>
      </c>
    </row>
    <row r="80" spans="1:9" s="4" customFormat="1">
      <c r="A80" s="37">
        <f>'Week 4 Stats'!A25</f>
        <v>41318</v>
      </c>
      <c r="B80" s="38" t="str">
        <f>'Week 4 Stats'!B25</f>
        <v>16#</v>
      </c>
      <c r="C80" s="38">
        <f>'Week 4 Stats'!C25</f>
        <v>0</v>
      </c>
      <c r="D80" s="38">
        <f>'Week 4 Stats'!D25</f>
        <v>17</v>
      </c>
      <c r="E80" s="38">
        <f>'Week 4 Stats'!E25</f>
        <v>2</v>
      </c>
      <c r="F80" s="38">
        <f>'Week 4 Stats'!F25</f>
        <v>0</v>
      </c>
      <c r="G80" s="38">
        <f>'Week 4 Stats'!G25</f>
        <v>0</v>
      </c>
      <c r="H80" s="38">
        <f>'Week 4 Stats'!H25</f>
        <v>0</v>
      </c>
      <c r="I80" s="39">
        <f>'Week 4 Stats'!I25</f>
        <v>19</v>
      </c>
    </row>
    <row r="81" spans="1:9" s="4" customFormat="1">
      <c r="A81" s="16">
        <f>A36</f>
        <v>41319</v>
      </c>
      <c r="B81" s="22" t="s">
        <v>20</v>
      </c>
      <c r="C81" s="22">
        <v>0</v>
      </c>
      <c r="D81" s="22">
        <v>7</v>
      </c>
      <c r="E81" s="22">
        <v>6</v>
      </c>
      <c r="F81" s="22">
        <v>0</v>
      </c>
      <c r="G81" s="22">
        <v>6</v>
      </c>
      <c r="H81" s="22">
        <v>5</v>
      </c>
      <c r="I81" s="23">
        <f>Table7118[[#This Row],[Leave]]+Table7118[[#This Row],[Discharged]]+Table7118[[#This Row],[Transferred to other Shaft / Area]]+Table7118[[#This Row],[Sick Leave]]+Table7118[[#This Row],[Training]]+Table7118[[#This Row],[Other]]</f>
        <v>24</v>
      </c>
    </row>
    <row r="82" spans="1:9" s="4" customFormat="1">
      <c r="A82" s="37">
        <f>'Week 4 Stats'!A27</f>
        <v>41319</v>
      </c>
      <c r="B82" s="38" t="str">
        <f>'Week 4 Stats'!B27</f>
        <v>E&amp;F</v>
      </c>
      <c r="C82" s="38">
        <f>'Week 4 Stats'!C27</f>
        <v>0</v>
      </c>
      <c r="D82" s="38">
        <f>'Week 4 Stats'!D27</f>
        <v>1</v>
      </c>
      <c r="E82" s="38">
        <f>'Week 4 Stats'!E27</f>
        <v>0</v>
      </c>
      <c r="F82" s="38">
        <f>'Week 4 Stats'!F27</f>
        <v>0</v>
      </c>
      <c r="G82" s="38">
        <f>'Week 4 Stats'!G27</f>
        <v>0</v>
      </c>
      <c r="H82" s="38">
        <f>'Week 4 Stats'!H27</f>
        <v>4</v>
      </c>
      <c r="I82" s="39">
        <f>'Week 4 Stats'!I27</f>
        <v>5</v>
      </c>
    </row>
    <row r="83" spans="1:9" s="4" customFormat="1">
      <c r="A83" s="95">
        <f>'Week 4 Stats'!A28</f>
        <v>41320</v>
      </c>
      <c r="B83" s="96" t="str">
        <f>'Week 4 Stats'!B28</f>
        <v>12#</v>
      </c>
      <c r="C83" s="96">
        <f>'Week 4 Stats'!C28</f>
        <v>0</v>
      </c>
      <c r="D83" s="96">
        <f>'Week 4 Stats'!D28</f>
        <v>10</v>
      </c>
      <c r="E83" s="96">
        <f>'Week 4 Stats'!E28</f>
        <v>0</v>
      </c>
      <c r="F83" s="96">
        <f>'Week 4 Stats'!F28</f>
        <v>0</v>
      </c>
      <c r="G83" s="96">
        <f>'Week 4 Stats'!G28</f>
        <v>0</v>
      </c>
      <c r="H83" s="96">
        <f>'Week 4 Stats'!H28</f>
        <v>5</v>
      </c>
      <c r="I83" s="39">
        <f>'Week 4 Stats'!I28</f>
        <v>15</v>
      </c>
    </row>
    <row r="84" spans="1:9" s="4" customFormat="1">
      <c r="A84" s="55">
        <f>A38</f>
        <v>41320</v>
      </c>
      <c r="B84" s="56" t="s">
        <v>9</v>
      </c>
      <c r="C84" s="56">
        <v>0</v>
      </c>
      <c r="D84" s="56">
        <v>6</v>
      </c>
      <c r="E84" s="56">
        <v>20</v>
      </c>
      <c r="F84" s="56">
        <v>0</v>
      </c>
      <c r="G84" s="56">
        <v>9</v>
      </c>
      <c r="H84" s="56">
        <v>4</v>
      </c>
      <c r="I84" s="23">
        <f>Table7118[[#This Row],[Leave]]+Table7118[[#This Row],[Discharged]]+Table7118[[#This Row],[Transferred to other Shaft / Area]]+Table7118[[#This Row],[Sick Leave]]+Table7118[[#This Row],[Training]]+Table7118[[#This Row],[Other]]</f>
        <v>39</v>
      </c>
    </row>
    <row r="85" spans="1:9" s="4" customFormat="1" ht="13.5" thickBot="1">
      <c r="A85" s="97">
        <f>'Week 4 Stats'!A30</f>
        <v>41320</v>
      </c>
      <c r="B85" s="98" t="str">
        <f>'Week 4 Stats'!B30</f>
        <v>20#</v>
      </c>
      <c r="C85" s="98">
        <f>'Week 4 Stats'!C30</f>
        <v>0</v>
      </c>
      <c r="D85" s="98">
        <f>'Week 4 Stats'!D30</f>
        <v>25</v>
      </c>
      <c r="E85" s="98">
        <f>'Week 4 Stats'!E30</f>
        <v>10</v>
      </c>
      <c r="F85" s="98">
        <f>'Week 4 Stats'!F30</f>
        <v>4</v>
      </c>
      <c r="G85" s="98">
        <f>'Week 4 Stats'!G30</f>
        <v>17</v>
      </c>
      <c r="H85" s="98">
        <f>'Week 4 Stats'!H30</f>
        <v>4</v>
      </c>
      <c r="I85" s="39">
        <f>'Week 4 Stats'!I30</f>
        <v>60</v>
      </c>
    </row>
    <row r="86" spans="1:9" s="4" customFormat="1" ht="13.5" thickBot="1">
      <c r="A86" s="64" t="str">
        <f>'Week 4 Stats'!A31</f>
        <v>Week 4 Total</v>
      </c>
      <c r="B86" s="73"/>
      <c r="C86" s="73">
        <f t="shared" ref="C86:I86" si="3">SUM(C76:C85)</f>
        <v>4</v>
      </c>
      <c r="D86" s="73">
        <f t="shared" si="3"/>
        <v>97</v>
      </c>
      <c r="E86" s="73">
        <f t="shared" si="3"/>
        <v>53</v>
      </c>
      <c r="F86" s="73">
        <f t="shared" si="3"/>
        <v>6</v>
      </c>
      <c r="G86" s="73">
        <f t="shared" si="3"/>
        <v>100</v>
      </c>
      <c r="H86" s="73">
        <f t="shared" si="3"/>
        <v>28</v>
      </c>
      <c r="I86" s="74">
        <f t="shared" si="3"/>
        <v>288</v>
      </c>
    </row>
    <row r="87" spans="1:9" s="4" customFormat="1">
      <c r="A87" s="37">
        <f>'Week 5 Stats'!A16</f>
        <v>41323</v>
      </c>
      <c r="B87" s="38">
        <f>'Week 5 Stats'!B16</f>
        <v>0</v>
      </c>
      <c r="C87" s="38">
        <f>'Week 5 Stats'!C16</f>
        <v>0</v>
      </c>
      <c r="D87" s="38">
        <f>'Week 5 Stats'!D16</f>
        <v>0</v>
      </c>
      <c r="E87" s="38">
        <f>'Week 5 Stats'!E16</f>
        <v>0</v>
      </c>
      <c r="F87" s="38">
        <f>'Week 5 Stats'!F16</f>
        <v>0</v>
      </c>
      <c r="G87" s="38">
        <f>'Week 5 Stats'!G16</f>
        <v>0</v>
      </c>
      <c r="H87" s="38">
        <f>'Week 5 Stats'!H16</f>
        <v>0</v>
      </c>
      <c r="I87" s="39">
        <f>'Week 5 Stats'!I16</f>
        <v>0</v>
      </c>
    </row>
    <row r="88" spans="1:9" s="4" customFormat="1">
      <c r="A88" s="97">
        <f>'Week 5 Stats'!A18</f>
        <v>41324</v>
      </c>
      <c r="B88" s="98" t="str">
        <f>'Week 5 Stats'!B18</f>
        <v>16#</v>
      </c>
      <c r="C88" s="98">
        <f>'Week 5 Stats'!C18</f>
        <v>0</v>
      </c>
      <c r="D88" s="98">
        <f>'Week 5 Stats'!D18</f>
        <v>10</v>
      </c>
      <c r="E88" s="98">
        <f>'Week 5 Stats'!E18</f>
        <v>7</v>
      </c>
      <c r="F88" s="98">
        <f>'Week 5 Stats'!F18</f>
        <v>4</v>
      </c>
      <c r="G88" s="98">
        <f>'Week 5 Stats'!G18</f>
        <v>12</v>
      </c>
      <c r="H88" s="98">
        <f>'Week 5 Stats'!H18</f>
        <v>3</v>
      </c>
      <c r="I88" s="39">
        <f>'Week 5 Stats'!I18</f>
        <v>36</v>
      </c>
    </row>
    <row r="89" spans="1:9" s="4" customFormat="1">
      <c r="A89" s="95">
        <f>'Week 5 Stats'!A19</f>
        <v>41325</v>
      </c>
      <c r="B89" s="96" t="str">
        <f>'Week 5 Stats'!B19</f>
        <v>9#</v>
      </c>
      <c r="C89" s="96">
        <f>'Week 5 Stats'!C19</f>
        <v>0</v>
      </c>
      <c r="D89" s="96">
        <f>'Week 5 Stats'!D19</f>
        <v>0</v>
      </c>
      <c r="E89" s="96">
        <f>'Week 5 Stats'!E19</f>
        <v>3</v>
      </c>
      <c r="F89" s="96">
        <f>'Week 5 Stats'!F19</f>
        <v>0</v>
      </c>
      <c r="G89" s="96">
        <f>'Week 5 Stats'!G19</f>
        <v>7</v>
      </c>
      <c r="H89" s="96">
        <f>'Week 5 Stats'!H19</f>
        <v>0</v>
      </c>
      <c r="I89" s="39">
        <f>'Week 5 Stats'!I19</f>
        <v>10</v>
      </c>
    </row>
    <row r="90" spans="1:9" s="4" customFormat="1" ht="13.5" thickBot="1">
      <c r="A90" s="95">
        <f>'Week 5 Stats'!A20</f>
        <v>41325</v>
      </c>
      <c r="B90" s="96" t="str">
        <f>'Week 5 Stats'!B20</f>
        <v>10#</v>
      </c>
      <c r="C90" s="96">
        <f>'Week 5 Stats'!C20</f>
        <v>0</v>
      </c>
      <c r="D90" s="96">
        <f>'Week 5 Stats'!D20</f>
        <v>2</v>
      </c>
      <c r="E90" s="96">
        <f>'Week 5 Stats'!E20</f>
        <v>4</v>
      </c>
      <c r="F90" s="96">
        <f>'Week 5 Stats'!F20</f>
        <v>0</v>
      </c>
      <c r="G90" s="96">
        <f>'Week 5 Stats'!G20</f>
        <v>2</v>
      </c>
      <c r="H90" s="96">
        <f>'Week 5 Stats'!H20</f>
        <v>0</v>
      </c>
      <c r="I90" s="39">
        <f>'Week 5 Stats'!I20</f>
        <v>8</v>
      </c>
    </row>
    <row r="91" spans="1:9" s="4" customFormat="1" ht="13.5" thickBot="1">
      <c r="A91" s="64" t="str">
        <f>'Week 5 Stats'!A21</f>
        <v>Week 5 Total</v>
      </c>
      <c r="B91" s="73"/>
      <c r="C91" s="73">
        <f t="shared" ref="C91:I91" si="4">SUM(C87:C90)</f>
        <v>0</v>
      </c>
      <c r="D91" s="73">
        <f t="shared" si="4"/>
        <v>12</v>
      </c>
      <c r="E91" s="73">
        <f t="shared" si="4"/>
        <v>14</v>
      </c>
      <c r="F91" s="73">
        <f t="shared" si="4"/>
        <v>4</v>
      </c>
      <c r="G91" s="73">
        <f t="shared" si="4"/>
        <v>21</v>
      </c>
      <c r="H91" s="73">
        <f t="shared" si="4"/>
        <v>3</v>
      </c>
      <c r="I91" s="74">
        <f t="shared" si="4"/>
        <v>54</v>
      </c>
    </row>
    <row r="92" spans="1:9" s="4" customFormat="1" ht="13.5" thickBot="1">
      <c r="A92" s="70" t="s">
        <v>57</v>
      </c>
      <c r="B92" s="71"/>
      <c r="C92" s="71">
        <f t="shared" ref="C92:I92" si="5">SUM(C60+C68+C75+C86+C91)</f>
        <v>13</v>
      </c>
      <c r="D92" s="71">
        <f t="shared" si="5"/>
        <v>318</v>
      </c>
      <c r="E92" s="71">
        <f t="shared" si="5"/>
        <v>142</v>
      </c>
      <c r="F92" s="71">
        <f t="shared" si="5"/>
        <v>15</v>
      </c>
      <c r="G92" s="71">
        <f t="shared" si="5"/>
        <v>212</v>
      </c>
      <c r="H92" s="71">
        <f t="shared" si="5"/>
        <v>67</v>
      </c>
      <c r="I92" s="71">
        <f t="shared" si="5"/>
        <v>767</v>
      </c>
    </row>
    <row r="93" spans="1:9" ht="26.25">
      <c r="A93" s="134">
        <f>A1</f>
        <v>41233</v>
      </c>
      <c r="B93" s="134"/>
      <c r="C93" s="134"/>
      <c r="D93" s="134"/>
      <c r="E93" s="134"/>
      <c r="F93" s="45"/>
      <c r="G93" s="45"/>
      <c r="H93" s="45"/>
      <c r="I93" s="45"/>
    </row>
    <row r="94" spans="1:9" ht="13.5" thickBot="1"/>
    <row r="95" spans="1:9" ht="21" thickBot="1">
      <c r="A95" s="139" t="s">
        <v>8</v>
      </c>
      <c r="B95" s="140"/>
      <c r="C95" s="140"/>
      <c r="D95" s="140"/>
      <c r="E95" s="141"/>
    </row>
    <row r="96" spans="1:9" s="1" customFormat="1" ht="93" customHeight="1" thickBot="1">
      <c r="A96" s="34" t="s">
        <v>0</v>
      </c>
      <c r="B96" s="35" t="s">
        <v>1</v>
      </c>
      <c r="C96" s="35" t="s">
        <v>40</v>
      </c>
      <c r="D96" s="35" t="s">
        <v>42</v>
      </c>
      <c r="E96" s="36" t="s">
        <v>41</v>
      </c>
    </row>
    <row r="97" spans="1:5" s="4" customFormat="1">
      <c r="A97" s="32">
        <f>'Week 1 Stats'!A34</f>
        <v>41295</v>
      </c>
      <c r="B97" s="33" t="str">
        <f>'Week 1 Stats'!B34</f>
        <v>2#</v>
      </c>
      <c r="C97" s="33">
        <f>'Week 1 Stats'!C34</f>
        <v>2</v>
      </c>
      <c r="D97" s="33">
        <f>'Week 1 Stats'!D34</f>
        <v>0</v>
      </c>
      <c r="E97" s="33">
        <f>'Week 1 Stats'!E34</f>
        <v>105</v>
      </c>
    </row>
    <row r="98" spans="1:5" s="4" customFormat="1">
      <c r="A98" s="32">
        <f>'Week 1 Stats'!A35</f>
        <v>41295</v>
      </c>
      <c r="B98" s="33" t="str">
        <f>'Week 1 Stats'!B35</f>
        <v>E&amp;F</v>
      </c>
      <c r="C98" s="33">
        <f>'Week 1 Stats'!C35</f>
        <v>2</v>
      </c>
      <c r="D98" s="33">
        <f>'Week 1 Stats'!D35</f>
        <v>3</v>
      </c>
      <c r="E98" s="33">
        <f>'Week 1 Stats'!E35</f>
        <v>0</v>
      </c>
    </row>
    <row r="99" spans="1:5" s="4" customFormat="1">
      <c r="A99" s="99">
        <f>'Week 1 Stats'!A36</f>
        <v>41296</v>
      </c>
      <c r="B99" s="94" t="str">
        <f>'Week 1 Stats'!B36</f>
        <v>12#</v>
      </c>
      <c r="C99" s="94">
        <f>'Week 1 Stats'!C36</f>
        <v>12</v>
      </c>
      <c r="D99" s="94">
        <f>'Week 1 Stats'!D36</f>
        <v>4</v>
      </c>
      <c r="E99" s="94">
        <f>'Week 1 Stats'!E36</f>
        <v>83</v>
      </c>
    </row>
    <row r="100" spans="1:5" s="4" customFormat="1">
      <c r="A100" s="99">
        <f>'Week 1 Stats'!A37</f>
        <v>41296</v>
      </c>
      <c r="B100" s="94" t="str">
        <f>'Week 1 Stats'!B37</f>
        <v>20#</v>
      </c>
      <c r="C100" s="94">
        <f>'Week 1 Stats'!C37</f>
        <v>3</v>
      </c>
      <c r="D100" s="94">
        <f>'Week 1 Stats'!D37</f>
        <v>3</v>
      </c>
      <c r="E100" s="94">
        <f>'Week 1 Stats'!E37</f>
        <v>0</v>
      </c>
    </row>
    <row r="101" spans="1:5" s="4" customFormat="1">
      <c r="A101" s="32">
        <f>'Week 1 Stats'!A38</f>
        <v>41297</v>
      </c>
      <c r="B101" s="33" t="str">
        <f>'Week 1 Stats'!B38</f>
        <v>4#</v>
      </c>
      <c r="C101" s="33">
        <f>'Week 1 Stats'!C38</f>
        <v>32</v>
      </c>
      <c r="D101" s="33">
        <f>'Week 1 Stats'!D38</f>
        <v>6</v>
      </c>
      <c r="E101" s="33">
        <f>'Week 1 Stats'!E38</f>
        <v>74</v>
      </c>
    </row>
    <row r="102" spans="1:5" s="4" customFormat="1">
      <c r="A102" s="32">
        <f>'Week 1 Stats'!A39</f>
        <v>41297</v>
      </c>
      <c r="B102" s="33" t="str">
        <f>'Week 1 Stats'!B39</f>
        <v>14#</v>
      </c>
      <c r="C102" s="33">
        <f>'Week 1 Stats'!C39</f>
        <v>75</v>
      </c>
      <c r="D102" s="33">
        <f>'Week 1 Stats'!D39</f>
        <v>8</v>
      </c>
      <c r="E102" s="33">
        <f>'Week 1 Stats'!E39</f>
        <v>0</v>
      </c>
    </row>
    <row r="103" spans="1:5" s="4" customFormat="1">
      <c r="A103" s="99">
        <f>'Week 1 Stats'!A40</f>
        <v>41298</v>
      </c>
      <c r="B103" s="94" t="str">
        <f>'Week 1 Stats'!B40</f>
        <v>11C#</v>
      </c>
      <c r="C103" s="94">
        <f>'Week 1 Stats'!C40</f>
        <v>19</v>
      </c>
      <c r="D103" s="94">
        <f>'Week 1 Stats'!D40</f>
        <v>6</v>
      </c>
      <c r="E103" s="94">
        <f>'Week 1 Stats'!E40</f>
        <v>132</v>
      </c>
    </row>
    <row r="104" spans="1:5" s="4" customFormat="1">
      <c r="A104" s="99">
        <f>'Week 1 Stats'!A41</f>
        <v>41298</v>
      </c>
      <c r="B104" s="94" t="str">
        <f>'Week 1 Stats'!B41</f>
        <v>7#</v>
      </c>
      <c r="C104" s="94">
        <f>'Week 1 Stats'!C41</f>
        <v>1</v>
      </c>
      <c r="D104" s="94">
        <f>'Week 1 Stats'!D41</f>
        <v>0</v>
      </c>
      <c r="E104" s="94">
        <f>'Week 1 Stats'!E41</f>
        <v>0</v>
      </c>
    </row>
    <row r="105" spans="1:5" s="4" customFormat="1">
      <c r="A105" s="99">
        <f>'Week 1 Stats'!A42</f>
        <v>41298</v>
      </c>
      <c r="B105" s="94" t="str">
        <f>'Week 1 Stats'!B42</f>
        <v>17#</v>
      </c>
      <c r="C105" s="94">
        <f>'Week 1 Stats'!C42</f>
        <v>1</v>
      </c>
      <c r="D105" s="94">
        <f>'Week 1 Stats'!D42</f>
        <v>0</v>
      </c>
      <c r="E105" s="94">
        <f>'Week 1 Stats'!E42</f>
        <v>0</v>
      </c>
    </row>
    <row r="106" spans="1:5" s="4" customFormat="1">
      <c r="A106" s="99">
        <f>'Week 1 Stats'!A43</f>
        <v>41298</v>
      </c>
      <c r="B106" s="94" t="str">
        <f>'Week 1 Stats'!B43</f>
        <v>16#</v>
      </c>
      <c r="C106" s="94">
        <f>'Week 1 Stats'!C43</f>
        <v>2</v>
      </c>
      <c r="D106" s="94">
        <f>'Week 1 Stats'!D43</f>
        <v>3</v>
      </c>
      <c r="E106" s="94">
        <f>'Week 1 Stats'!E43</f>
        <v>0</v>
      </c>
    </row>
    <row r="107" spans="1:5" s="4" customFormat="1">
      <c r="A107" s="32">
        <f>'Week 1 Stats'!A44</f>
        <v>41299</v>
      </c>
      <c r="B107" s="33" t="str">
        <f>'Week 1 Stats'!B44</f>
        <v>1#</v>
      </c>
      <c r="C107" s="33">
        <f>'Week 1 Stats'!C44</f>
        <v>98</v>
      </c>
      <c r="D107" s="33">
        <f>'Week 1 Stats'!D44</f>
        <v>12</v>
      </c>
      <c r="E107" s="33">
        <f>'Week 1 Stats'!E44</f>
        <v>82</v>
      </c>
    </row>
    <row r="108" spans="1:5" s="4" customFormat="1">
      <c r="A108" s="32">
        <f>'Week 1 Stats'!A45</f>
        <v>41299</v>
      </c>
      <c r="B108" s="33" t="str">
        <f>'Week 1 Stats'!B45</f>
        <v>9#</v>
      </c>
      <c r="C108" s="33">
        <f>'Week 1 Stats'!C45</f>
        <v>24</v>
      </c>
      <c r="D108" s="33">
        <f>'Week 1 Stats'!D45</f>
        <v>4</v>
      </c>
      <c r="E108" s="33">
        <f>'Week 1 Stats'!E45</f>
        <v>0</v>
      </c>
    </row>
    <row r="109" spans="1:5" s="4" customFormat="1" ht="13.5" thickBot="1">
      <c r="A109" s="32">
        <f>'Week 1 Stats'!A46</f>
        <v>41299</v>
      </c>
      <c r="B109" s="33" t="str">
        <f>'Week 1 Stats'!B46</f>
        <v>10#</v>
      </c>
      <c r="C109" s="33">
        <f>'Week 1 Stats'!C46</f>
        <v>65</v>
      </c>
      <c r="D109" s="33">
        <f>'Week 1 Stats'!D46</f>
        <v>5</v>
      </c>
      <c r="E109" s="33">
        <f>'Week 1 Stats'!E46</f>
        <v>0</v>
      </c>
    </row>
    <row r="110" spans="1:5" s="4" customFormat="1" ht="13.5" thickBot="1">
      <c r="A110" s="72" t="str">
        <f>'Week 1 Stats'!A47</f>
        <v>Week 1 Total</v>
      </c>
      <c r="B110" s="73"/>
      <c r="C110" s="73">
        <f>SUM(C97:C109)</f>
        <v>336</v>
      </c>
      <c r="D110" s="73">
        <f>SUM(D97:D109)</f>
        <v>54</v>
      </c>
      <c r="E110" s="74">
        <f>SUM(E97:E109)</f>
        <v>476</v>
      </c>
    </row>
    <row r="111" spans="1:5" s="4" customFormat="1">
      <c r="A111" s="32">
        <f>'Week 2 Stats'!A30</f>
        <v>41302</v>
      </c>
      <c r="B111" s="33" t="str">
        <f>'Week 2 Stats'!B30</f>
        <v>12#</v>
      </c>
      <c r="C111" s="33">
        <f>'Week 2 Stats'!C30</f>
        <v>5</v>
      </c>
      <c r="D111" s="33">
        <f>'Week 2 Stats'!D30</f>
        <v>4</v>
      </c>
      <c r="E111" s="33">
        <f>'Week 2 Stats'!E30</f>
        <v>80</v>
      </c>
    </row>
    <row r="112" spans="1:5" s="4" customFormat="1">
      <c r="A112" s="32">
        <f>'Week 2 Stats'!A31</f>
        <v>41302</v>
      </c>
      <c r="B112" s="19" t="s">
        <v>21</v>
      </c>
      <c r="C112" s="19">
        <v>8</v>
      </c>
      <c r="D112" s="115">
        <v>3</v>
      </c>
      <c r="E112" s="33"/>
    </row>
    <row r="113" spans="1:5" s="4" customFormat="1">
      <c r="A113" s="99">
        <f>'Week 2 Stats'!A32</f>
        <v>41303</v>
      </c>
      <c r="B113" s="94" t="str">
        <f>'Week 2 Stats'!B32</f>
        <v>11#</v>
      </c>
      <c r="C113" s="94">
        <f>'Week 2 Stats'!C32</f>
        <v>57</v>
      </c>
      <c r="D113" s="94">
        <f>'Week 2 Stats'!D32</f>
        <v>9</v>
      </c>
      <c r="E113" s="94">
        <f>'Week 2 Stats'!E32</f>
        <v>66</v>
      </c>
    </row>
    <row r="114" spans="1:5" s="4" customFormat="1">
      <c r="A114" s="99">
        <f>'Week 2 Stats'!A33</f>
        <v>41303</v>
      </c>
      <c r="B114" s="94" t="str">
        <f>'Week 2 Stats'!B33</f>
        <v>11C#</v>
      </c>
      <c r="C114" s="94">
        <f>'Week 2 Stats'!C33</f>
        <v>6</v>
      </c>
      <c r="D114" s="94">
        <f>'Week 2 Stats'!D33</f>
        <v>3</v>
      </c>
      <c r="E114" s="94">
        <f>'Week 2 Stats'!E33</f>
        <v>0</v>
      </c>
    </row>
    <row r="115" spans="1:5" s="4" customFormat="1">
      <c r="A115" s="99">
        <f>'Week 2 Stats'!A34</f>
        <v>41303</v>
      </c>
      <c r="B115" s="94" t="str">
        <f>'Week 2 Stats'!B34</f>
        <v>4#</v>
      </c>
      <c r="C115" s="94">
        <f>'Week 2 Stats'!C34</f>
        <v>3</v>
      </c>
      <c r="D115" s="94">
        <f>'Week 2 Stats'!D34</f>
        <v>3</v>
      </c>
      <c r="E115" s="94">
        <f>'Week 2 Stats'!E34</f>
        <v>0</v>
      </c>
    </row>
    <row r="116" spans="1:5" s="4" customFormat="1">
      <c r="A116" s="32">
        <f>'Week 2 Stats'!A35</f>
        <v>41304</v>
      </c>
      <c r="B116" s="33" t="str">
        <f>'Week 2 Stats'!B35</f>
        <v>6#</v>
      </c>
      <c r="C116" s="33">
        <f>'Week 2 Stats'!C35</f>
        <v>13</v>
      </c>
      <c r="D116" s="33">
        <f>'Week 2 Stats'!D35</f>
        <v>5</v>
      </c>
      <c r="E116" s="33">
        <f>'Week 2 Stats'!E35</f>
        <v>42</v>
      </c>
    </row>
    <row r="117" spans="1:5" s="4" customFormat="1">
      <c r="A117" s="32">
        <f>'Week 2 Stats'!A36</f>
        <v>41304</v>
      </c>
      <c r="B117" s="33" t="str">
        <f>'Week 2 Stats'!B36</f>
        <v>E&amp;F</v>
      </c>
      <c r="C117" s="33">
        <f>'Week 2 Stats'!C36</f>
        <v>14</v>
      </c>
      <c r="D117" s="33">
        <f>'Week 2 Stats'!D36</f>
        <v>2</v>
      </c>
      <c r="E117" s="33">
        <f>'Week 2 Stats'!E36</f>
        <v>0</v>
      </c>
    </row>
    <row r="118" spans="1:5" s="4" customFormat="1">
      <c r="A118" s="99">
        <f>'Week 2 Stats'!A37</f>
        <v>41305</v>
      </c>
      <c r="B118" s="94" t="str">
        <f>'Week 2 Stats'!B37</f>
        <v>7A#</v>
      </c>
      <c r="C118" s="94">
        <f>'Week 2 Stats'!C37</f>
        <v>38</v>
      </c>
      <c r="D118" s="94">
        <f>'Week 2 Stats'!D37</f>
        <v>5</v>
      </c>
      <c r="E118" s="94">
        <f>'Week 2 Stats'!E37</f>
        <v>48</v>
      </c>
    </row>
    <row r="119" spans="1:5" s="4" customFormat="1">
      <c r="A119" s="99">
        <f>'Week 2 Stats'!A38</f>
        <v>41305</v>
      </c>
      <c r="B119" s="94" t="str">
        <f>'Week 2 Stats'!B38</f>
        <v>12#</v>
      </c>
      <c r="C119" s="94">
        <f>'Week 2 Stats'!C38</f>
        <v>75</v>
      </c>
      <c r="D119" s="94">
        <f>'Week 2 Stats'!D38</f>
        <v>9</v>
      </c>
      <c r="E119" s="94">
        <f>'Week 2 Stats'!E38</f>
        <v>0</v>
      </c>
    </row>
    <row r="120" spans="1:5" s="4" customFormat="1">
      <c r="A120" s="99">
        <f>'Week 2 Stats'!A39</f>
        <v>41305</v>
      </c>
      <c r="B120" s="94" t="str">
        <f>'Week 2 Stats'!B39</f>
        <v>2#</v>
      </c>
      <c r="C120" s="94">
        <f>'Week 2 Stats'!C39</f>
        <v>1</v>
      </c>
      <c r="D120" s="94">
        <f>'Week 2 Stats'!D39</f>
        <v>0</v>
      </c>
      <c r="E120" s="94">
        <f>'Week 2 Stats'!E39</f>
        <v>0</v>
      </c>
    </row>
    <row r="121" spans="1:5" s="4" customFormat="1" ht="13.5" thickBot="1">
      <c r="A121" s="99">
        <v>41215</v>
      </c>
      <c r="B121" s="33" t="str">
        <f>'Week 2 Stats'!B40</f>
        <v>Minpro</v>
      </c>
      <c r="C121" s="33">
        <f>'Week 2 Stats'!C40</f>
        <v>28</v>
      </c>
      <c r="D121" s="33">
        <f>'Week 2 Stats'!D40</f>
        <v>7</v>
      </c>
      <c r="E121" s="33">
        <f>'Week 2 Stats'!E40</f>
        <v>43</v>
      </c>
    </row>
    <row r="122" spans="1:5" s="4" customFormat="1" ht="13.5" thickBot="1">
      <c r="A122" s="72" t="str">
        <f>'Week 2 Stats'!A42</f>
        <v>Week 2 Total</v>
      </c>
      <c r="B122" s="73"/>
      <c r="C122" s="73">
        <f>SUM(C111:C121)</f>
        <v>248</v>
      </c>
      <c r="D122" s="73">
        <f>SUM(D111:D121)</f>
        <v>50</v>
      </c>
      <c r="E122" s="74">
        <f>SUM(E111:E121)</f>
        <v>279</v>
      </c>
    </row>
    <row r="123" spans="1:5" s="4" customFormat="1">
      <c r="A123" s="32">
        <f>'Week 3 Stats'!A28</f>
        <v>41309</v>
      </c>
      <c r="B123" s="33" t="str">
        <f>'Week 3 Stats'!B28</f>
        <v>1#</v>
      </c>
      <c r="C123" s="33">
        <f>'Week 3 Stats'!C28</f>
        <v>8</v>
      </c>
      <c r="D123" s="33">
        <f>'Week 3 Stats'!D28</f>
        <v>6</v>
      </c>
      <c r="E123" s="33">
        <f>'Week 3 Stats'!E28</f>
        <v>160</v>
      </c>
    </row>
    <row r="124" spans="1:5" s="4" customFormat="1">
      <c r="A124" s="99">
        <f>'Week 3 Stats'!A30</f>
        <v>41310</v>
      </c>
      <c r="B124" s="94" t="str">
        <f>'Week 3 Stats'!B30</f>
        <v>2#</v>
      </c>
      <c r="C124" s="94">
        <f>'Week 3 Stats'!C30</f>
        <v>3</v>
      </c>
      <c r="D124" s="94">
        <f>'Week 3 Stats'!D30</f>
        <v>1</v>
      </c>
      <c r="E124" s="94">
        <f>'Week 3 Stats'!E30</f>
        <v>117</v>
      </c>
    </row>
    <row r="125" spans="1:5" s="4" customFormat="1">
      <c r="A125" s="32">
        <f>'Week 3 Stats'!A31</f>
        <v>41311</v>
      </c>
      <c r="B125" s="33" t="str">
        <f>'Week 3 Stats'!B31</f>
        <v>4#</v>
      </c>
      <c r="C125" s="33">
        <f>'Week 3 Stats'!C31</f>
        <v>11</v>
      </c>
      <c r="D125" s="33">
        <f>'Week 3 Stats'!D31</f>
        <v>6</v>
      </c>
      <c r="E125" s="33">
        <f>'Week 3 Stats'!E31</f>
        <v>113</v>
      </c>
    </row>
    <row r="126" spans="1:5" s="4" customFormat="1" ht="13.5" thickBot="1">
      <c r="A126" s="32">
        <f>'Week 3 Stats'!A33</f>
        <v>41313</v>
      </c>
      <c r="B126" s="33" t="str">
        <f>'Week 3 Stats'!B33</f>
        <v>7#</v>
      </c>
      <c r="C126" s="33">
        <f>'Week 3 Stats'!C33</f>
        <v>25</v>
      </c>
      <c r="D126" s="33">
        <f>'Week 3 Stats'!D33</f>
        <v>4</v>
      </c>
      <c r="E126" s="33">
        <f>'Week 3 Stats'!E33</f>
        <v>159</v>
      </c>
    </row>
    <row r="127" spans="1:5" s="4" customFormat="1" ht="13.5" thickBot="1">
      <c r="A127" s="72" t="str">
        <f>'Week 3 Stats'!A34</f>
        <v>Week 3 Total</v>
      </c>
      <c r="B127" s="73"/>
      <c r="C127" s="73">
        <f>SUM(C123:C126)</f>
        <v>47</v>
      </c>
      <c r="D127" s="73">
        <f>SUM(D123:D126)</f>
        <v>17</v>
      </c>
      <c r="E127" s="74">
        <f>SUM(E123:E126)</f>
        <v>549</v>
      </c>
    </row>
    <row r="128" spans="1:5" s="4" customFormat="1">
      <c r="A128" s="32">
        <f>'Week 4 Stats'!A36</f>
        <v>41316</v>
      </c>
      <c r="B128" s="33" t="str">
        <f>'Week 4 Stats'!B36</f>
        <v>10#</v>
      </c>
      <c r="C128" s="33">
        <f>'Week 4 Stats'!C36</f>
        <v>24</v>
      </c>
      <c r="D128" s="33">
        <f>'Week 4 Stats'!D36</f>
        <v>4</v>
      </c>
      <c r="E128" s="33">
        <f>'Week 4 Stats'!E36</f>
        <v>87</v>
      </c>
    </row>
    <row r="129" spans="1:5" s="4" customFormat="1">
      <c r="A129" s="32">
        <f>'Week 4 Stats'!A37</f>
        <v>41316</v>
      </c>
      <c r="B129" s="33" t="str">
        <f>'Week 4 Stats'!B37</f>
        <v>E&amp;F</v>
      </c>
      <c r="C129" s="33">
        <f>'Week 4 Stats'!C37</f>
        <v>4</v>
      </c>
      <c r="D129" s="33">
        <f>'Week 4 Stats'!D37</f>
        <v>1</v>
      </c>
      <c r="E129" s="33">
        <f>'Week 4 Stats'!E37</f>
        <v>0</v>
      </c>
    </row>
    <row r="130" spans="1:5" s="4" customFormat="1">
      <c r="A130" s="99">
        <f>'Week 4 Stats'!A38</f>
        <v>41317</v>
      </c>
      <c r="B130" s="94" t="str">
        <f>'Week 4 Stats'!B38</f>
        <v>7#</v>
      </c>
      <c r="C130" s="94">
        <f>'Week 4 Stats'!C38</f>
        <v>13</v>
      </c>
      <c r="D130" s="94">
        <f>'Week 4 Stats'!D38</f>
        <v>5</v>
      </c>
      <c r="E130" s="94">
        <f>'Week 4 Stats'!E38</f>
        <v>81</v>
      </c>
    </row>
    <row r="131" spans="1:5" s="4" customFormat="1">
      <c r="A131" s="99">
        <f>'Week 4 Stats'!A39</f>
        <v>41317</v>
      </c>
      <c r="B131" s="94" t="str">
        <f>'Week 4 Stats'!B39</f>
        <v>11#</v>
      </c>
      <c r="C131" s="94">
        <f>'Week 4 Stats'!C39</f>
        <v>4</v>
      </c>
      <c r="D131" s="94">
        <f>'Week 4 Stats'!D39</f>
        <v>2</v>
      </c>
      <c r="E131" s="94">
        <f>'Week 4 Stats'!E39</f>
        <v>0</v>
      </c>
    </row>
    <row r="132" spans="1:5" s="4" customFormat="1">
      <c r="A132" s="99">
        <f>'Week 4 Stats'!A40</f>
        <v>41317</v>
      </c>
      <c r="B132" s="94" t="str">
        <f>'Week 4 Stats'!B40</f>
        <v>11C#</v>
      </c>
      <c r="C132" s="94">
        <f>'Week 4 Stats'!C40</f>
        <v>7</v>
      </c>
      <c r="D132" s="94">
        <f>'Week 4 Stats'!D40</f>
        <v>3</v>
      </c>
      <c r="E132" s="94">
        <f>'Week 4 Stats'!E40</f>
        <v>0</v>
      </c>
    </row>
    <row r="133" spans="1:5" s="4" customFormat="1">
      <c r="A133" s="32">
        <f>'Week 4 Stats'!A41</f>
        <v>41318</v>
      </c>
      <c r="B133" s="33" t="str">
        <f>'Week 4 Stats'!B41</f>
        <v>1#</v>
      </c>
      <c r="C133" s="33">
        <f>'Week 4 Stats'!C41</f>
        <v>11</v>
      </c>
      <c r="D133" s="33">
        <f>'Week 4 Stats'!D41</f>
        <v>6</v>
      </c>
      <c r="E133" s="33">
        <f>'Week 4 Stats'!E41</f>
        <v>59</v>
      </c>
    </row>
    <row r="134" spans="1:5" s="4" customFormat="1">
      <c r="A134" s="32">
        <f>'Week 4 Stats'!A42</f>
        <v>41318</v>
      </c>
      <c r="B134" s="33" t="str">
        <f>'Week 4 Stats'!B42</f>
        <v>9#</v>
      </c>
      <c r="C134" s="33">
        <f>'Week 4 Stats'!C42</f>
        <v>11</v>
      </c>
      <c r="D134" s="33">
        <f>'Week 4 Stats'!D42</f>
        <v>4</v>
      </c>
      <c r="E134" s="33">
        <f>'Week 4 Stats'!E42</f>
        <v>0</v>
      </c>
    </row>
    <row r="135" spans="1:5" s="4" customFormat="1">
      <c r="A135" s="99">
        <f>'Week 4 Stats'!A43</f>
        <v>41319</v>
      </c>
      <c r="B135" s="94" t="str">
        <f>'Week 4 Stats'!B43</f>
        <v>14#</v>
      </c>
      <c r="C135" s="94">
        <f>'Week 4 Stats'!C43</f>
        <v>9</v>
      </c>
      <c r="D135" s="94">
        <f>'Week 4 Stats'!D43</f>
        <v>6</v>
      </c>
      <c r="E135" s="94">
        <f>'Week 4 Stats'!E43</f>
        <v>42</v>
      </c>
    </row>
    <row r="136" spans="1:5" s="4" customFormat="1" ht="13.5" thickBot="1">
      <c r="A136" s="32">
        <f>'Week 4 Stats'!A44</f>
        <v>41320</v>
      </c>
      <c r="B136" s="33" t="str">
        <f>'Week 4 Stats'!B44</f>
        <v>12#</v>
      </c>
      <c r="C136" s="33">
        <f>'Week 4 Stats'!C44</f>
        <v>5</v>
      </c>
      <c r="D136" s="33">
        <f>'Week 4 Stats'!D44</f>
        <v>0</v>
      </c>
      <c r="E136" s="33">
        <f>'Week 4 Stats'!E44</f>
        <v>38</v>
      </c>
    </row>
    <row r="137" spans="1:5" s="4" customFormat="1" ht="13.5" thickBot="1">
      <c r="A137" s="72" t="str">
        <f>'Week 4 Stats'!A45</f>
        <v>Week 4 Total</v>
      </c>
      <c r="B137" s="73"/>
      <c r="C137" s="73">
        <f>SUM(C128:C136)</f>
        <v>88</v>
      </c>
      <c r="D137" s="73">
        <f>SUM(D128:D136)</f>
        <v>31</v>
      </c>
      <c r="E137" s="74">
        <f>SUM(E128:E136)</f>
        <v>307</v>
      </c>
    </row>
    <row r="138" spans="1:5" s="4" customFormat="1">
      <c r="A138" s="32">
        <f>'Week 5 Stats'!A26</f>
        <v>41323</v>
      </c>
      <c r="B138" s="33" t="str">
        <f>'Week 5 Stats'!B26</f>
        <v>10#</v>
      </c>
      <c r="C138" s="33">
        <f>'Week 5 Stats'!C26</f>
        <v>101</v>
      </c>
      <c r="D138" s="33">
        <f>'Week 5 Stats'!D26</f>
        <v>12</v>
      </c>
      <c r="E138" s="33">
        <f>'Week 5 Stats'!E26</f>
        <v>104</v>
      </c>
    </row>
    <row r="139" spans="1:5" s="4" customFormat="1">
      <c r="A139" s="32">
        <f>'Week 5 Stats'!A27</f>
        <v>41323</v>
      </c>
      <c r="B139" s="33" t="str">
        <f>'Week 5 Stats'!B27</f>
        <v>9#</v>
      </c>
      <c r="C139" s="33">
        <f>'Week 5 Stats'!C27</f>
        <v>17</v>
      </c>
      <c r="D139" s="33">
        <f>'Week 5 Stats'!D27</f>
        <v>6</v>
      </c>
      <c r="E139" s="33">
        <f>'Week 5 Stats'!E27</f>
        <v>0</v>
      </c>
    </row>
    <row r="140" spans="1:5" s="4" customFormat="1">
      <c r="A140" s="32">
        <f>'Week 5 Stats'!A28</f>
        <v>41324</v>
      </c>
      <c r="B140" s="33" t="s">
        <v>19</v>
      </c>
      <c r="C140" s="33">
        <v>1</v>
      </c>
      <c r="D140" s="33">
        <v>0</v>
      </c>
      <c r="E140" s="33">
        <v>110</v>
      </c>
    </row>
    <row r="141" spans="1:5" s="4" customFormat="1">
      <c r="A141" s="99">
        <f>'Week 5 Stats'!A29</f>
        <v>41325</v>
      </c>
      <c r="B141" s="94" t="str">
        <f>'Week 5 Stats'!B29</f>
        <v>17#</v>
      </c>
      <c r="C141" s="94">
        <v>0</v>
      </c>
      <c r="D141" s="94">
        <f>'Week 5 Stats'!D29</f>
        <v>0</v>
      </c>
      <c r="E141" s="94">
        <v>92</v>
      </c>
    </row>
    <row r="142" spans="1:5" s="4" customFormat="1" ht="13.5" thickBot="1">
      <c r="A142" s="99">
        <f>'Week 5 Stats'!A30</f>
        <v>41325</v>
      </c>
      <c r="B142" s="94" t="str">
        <f>'Week 5 Stats'!B30</f>
        <v>Minpro</v>
      </c>
      <c r="C142" s="94">
        <f>'Week 5 Stats'!C30</f>
        <v>23</v>
      </c>
      <c r="D142" s="94">
        <f>'Week 5 Stats'!D30</f>
        <v>3</v>
      </c>
      <c r="E142" s="94">
        <f>'Week 5 Stats'!E30</f>
        <v>0</v>
      </c>
    </row>
    <row r="143" spans="1:5" s="4" customFormat="1" ht="13.5" thickBot="1">
      <c r="A143" s="72" t="str">
        <f>'Week 5 Stats'!A31</f>
        <v>Week 5 Total</v>
      </c>
      <c r="B143" s="73"/>
      <c r="C143" s="73">
        <f>SUM(C138:C142)</f>
        <v>142</v>
      </c>
      <c r="D143" s="73">
        <f>SUM(D138:D142)</f>
        <v>21</v>
      </c>
      <c r="E143" s="74">
        <f>SUM(E138:E142)</f>
        <v>306</v>
      </c>
    </row>
    <row r="144" spans="1:5" s="4" customFormat="1" ht="13.5" thickBot="1">
      <c r="A144" s="72" t="s">
        <v>57</v>
      </c>
      <c r="B144" s="73"/>
      <c r="C144" s="73">
        <f>SUM(C110+C122+C127+C137+C143)</f>
        <v>861</v>
      </c>
      <c r="D144" s="73">
        <f>SUM(D110+D122+D127+D137+D143)</f>
        <v>173</v>
      </c>
      <c r="E144" s="74">
        <f>SUM(E110+E122+E127+E137+E143)</f>
        <v>1917</v>
      </c>
    </row>
    <row r="145" spans="1:21" ht="26.25">
      <c r="A145" s="142">
        <f>A1</f>
        <v>41233</v>
      </c>
      <c r="B145" s="142"/>
      <c r="C145" s="142"/>
      <c r="D145" s="142"/>
      <c r="E145" s="142"/>
      <c r="F145" s="142"/>
      <c r="G145" s="142"/>
      <c r="H145" s="142"/>
      <c r="I145" s="142"/>
      <c r="J145" s="142"/>
      <c r="K145" s="142"/>
      <c r="L145" s="142"/>
      <c r="M145" s="142"/>
      <c r="N145" s="142"/>
      <c r="O145" s="142"/>
      <c r="P145" s="142"/>
      <c r="Q145" s="142"/>
      <c r="R145" s="142"/>
      <c r="S145" s="142"/>
      <c r="T145" s="142"/>
      <c r="U145" s="142"/>
    </row>
    <row r="146" spans="1:21" ht="13.5" thickBot="1"/>
    <row r="147" spans="1:21" ht="21" thickBot="1">
      <c r="A147" s="139" t="s">
        <v>12</v>
      </c>
      <c r="B147" s="140"/>
      <c r="C147" s="140"/>
      <c r="D147" s="140"/>
      <c r="E147" s="140"/>
      <c r="F147" s="140"/>
      <c r="G147" s="140"/>
      <c r="H147" s="140"/>
      <c r="I147" s="140"/>
      <c r="J147" s="140"/>
      <c r="K147" s="140"/>
      <c r="L147" s="140"/>
      <c r="M147" s="140"/>
      <c r="N147" s="140"/>
      <c r="O147" s="140"/>
      <c r="P147" s="140"/>
      <c r="Q147" s="140"/>
      <c r="R147" s="140"/>
      <c r="S147" s="140"/>
      <c r="T147" s="140"/>
      <c r="U147" s="141"/>
    </row>
    <row r="148" spans="1:21" s="1" customFormat="1" ht="80.25" customHeight="1" thickBot="1">
      <c r="A148" s="40" t="s">
        <v>0</v>
      </c>
      <c r="B148" s="41" t="s">
        <v>13</v>
      </c>
      <c r="C148" s="41" t="s">
        <v>14</v>
      </c>
      <c r="D148" s="41" t="s">
        <v>15</v>
      </c>
      <c r="E148" s="41" t="s">
        <v>16</v>
      </c>
      <c r="F148" s="41" t="s">
        <v>9</v>
      </c>
      <c r="G148" s="41" t="s">
        <v>10</v>
      </c>
      <c r="H148" s="41" t="s">
        <v>5</v>
      </c>
      <c r="I148" s="41" t="s">
        <v>3</v>
      </c>
      <c r="J148" s="41" t="s">
        <v>4</v>
      </c>
      <c r="K148" s="41" t="s">
        <v>17</v>
      </c>
      <c r="L148" s="41" t="s">
        <v>7</v>
      </c>
      <c r="M148" s="41" t="s">
        <v>11</v>
      </c>
      <c r="N148" s="41" t="s">
        <v>18</v>
      </c>
      <c r="O148" s="41" t="s">
        <v>6</v>
      </c>
      <c r="P148" s="41" t="s">
        <v>19</v>
      </c>
      <c r="Q148" s="41" t="s">
        <v>20</v>
      </c>
      <c r="R148" s="41" t="s">
        <v>21</v>
      </c>
      <c r="S148" s="41" t="s">
        <v>22</v>
      </c>
      <c r="T148" s="41" t="s">
        <v>43</v>
      </c>
      <c r="U148" s="42" t="s">
        <v>44</v>
      </c>
    </row>
    <row r="149" spans="1:21" s="21" customFormat="1">
      <c r="A149" s="37">
        <f>'Week 1 Stats'!A53</f>
        <v>41295</v>
      </c>
      <c r="B149" s="38">
        <f>'Week 1 Stats'!B53</f>
        <v>4</v>
      </c>
      <c r="C149" s="38">
        <f>'Week 1 Stats'!C53</f>
        <v>0</v>
      </c>
      <c r="D149" s="38">
        <f>'Week 1 Stats'!D53</f>
        <v>1</v>
      </c>
      <c r="E149" s="38">
        <f>'Week 1 Stats'!E53</f>
        <v>0</v>
      </c>
      <c r="F149" s="38">
        <f>'Week 1 Stats'!F53</f>
        <v>5</v>
      </c>
      <c r="G149" s="38">
        <f>'Week 1 Stats'!G53</f>
        <v>0</v>
      </c>
      <c r="H149" s="38">
        <f>'Week 1 Stats'!H53</f>
        <v>0</v>
      </c>
      <c r="I149" s="38">
        <f>'Week 1 Stats'!I53</f>
        <v>0</v>
      </c>
      <c r="J149" s="38">
        <f>'Week 1 Stats'!J53</f>
        <v>0</v>
      </c>
      <c r="K149" s="38">
        <f>'Week 1 Stats'!K53</f>
        <v>2</v>
      </c>
      <c r="L149" s="38">
        <f>'Week 1 Stats'!L53</f>
        <v>3</v>
      </c>
      <c r="M149" s="38">
        <f>'Week 1 Stats'!M53</f>
        <v>7</v>
      </c>
      <c r="N149" s="38">
        <f>'Week 1 Stats'!N53</f>
        <v>4</v>
      </c>
      <c r="O149" s="38">
        <f>'Week 1 Stats'!O53</f>
        <v>1</v>
      </c>
      <c r="P149" s="38">
        <f>'Week 1 Stats'!P53</f>
        <v>5</v>
      </c>
      <c r="Q149" s="38">
        <f>'Week 1 Stats'!Q53</f>
        <v>0</v>
      </c>
      <c r="R149" s="38">
        <f>'Week 1 Stats'!R53</f>
        <v>7</v>
      </c>
      <c r="S149" s="38">
        <f>'Week 1 Stats'!S53</f>
        <v>0</v>
      </c>
      <c r="T149" s="38">
        <f>'Week 1 Stats'!T53</f>
        <v>10</v>
      </c>
      <c r="U149" s="39">
        <f>'Week 1 Stats'!U53</f>
        <v>49</v>
      </c>
    </row>
    <row r="150" spans="1:21" s="21" customFormat="1">
      <c r="A150" s="37">
        <f>'Week 1 Stats'!A54</f>
        <v>41296</v>
      </c>
      <c r="B150" s="38">
        <f>'Week 1 Stats'!B54</f>
        <v>0</v>
      </c>
      <c r="C150" s="38">
        <f>'Week 1 Stats'!C54</f>
        <v>0</v>
      </c>
      <c r="D150" s="38">
        <f>'Week 1 Stats'!D54</f>
        <v>0</v>
      </c>
      <c r="E150" s="38">
        <f>'Week 1 Stats'!E54</f>
        <v>0</v>
      </c>
      <c r="F150" s="38">
        <f>'Week 1 Stats'!F54</f>
        <v>0</v>
      </c>
      <c r="G150" s="38">
        <f>'Week 1 Stats'!G54</f>
        <v>0</v>
      </c>
      <c r="H150" s="38">
        <f>'Week 1 Stats'!H54</f>
        <v>0</v>
      </c>
      <c r="I150" s="38">
        <f>'Week 1 Stats'!I54</f>
        <v>0</v>
      </c>
      <c r="J150" s="38">
        <f>'Week 1 Stats'!J54</f>
        <v>0</v>
      </c>
      <c r="K150" s="38">
        <f>'Week 1 Stats'!K54</f>
        <v>0</v>
      </c>
      <c r="L150" s="38">
        <f>'Week 1 Stats'!L54</f>
        <v>0</v>
      </c>
      <c r="M150" s="38">
        <f>'Week 1 Stats'!M54</f>
        <v>0</v>
      </c>
      <c r="N150" s="38">
        <f>'Week 1 Stats'!N54</f>
        <v>0</v>
      </c>
      <c r="O150" s="38">
        <f>'Week 1 Stats'!O54</f>
        <v>0</v>
      </c>
      <c r="P150" s="38">
        <f>'Week 1 Stats'!P54</f>
        <v>0</v>
      </c>
      <c r="Q150" s="38">
        <f>'Week 1 Stats'!Q54</f>
        <v>0</v>
      </c>
      <c r="R150" s="38">
        <f>'Week 1 Stats'!R54</f>
        <v>0</v>
      </c>
      <c r="S150" s="38">
        <f>'Week 1 Stats'!S54</f>
        <v>0</v>
      </c>
      <c r="T150" s="38">
        <f>'Week 1 Stats'!T54</f>
        <v>0</v>
      </c>
      <c r="U150" s="39">
        <f>'Week 1 Stats'!U54</f>
        <v>0</v>
      </c>
    </row>
    <row r="151" spans="1:21" s="21" customFormat="1">
      <c r="A151" s="37">
        <f>'Week 1 Stats'!A55</f>
        <v>41297</v>
      </c>
      <c r="B151" s="38">
        <f>'Week 1 Stats'!B55</f>
        <v>0</v>
      </c>
      <c r="C151" s="38">
        <f>'Week 1 Stats'!C55</f>
        <v>1</v>
      </c>
      <c r="D151" s="38">
        <f>'Week 1 Stats'!D55</f>
        <v>2</v>
      </c>
      <c r="E151" s="38">
        <f>'Week 1 Stats'!E55</f>
        <v>0</v>
      </c>
      <c r="F151" s="38">
        <f>'Week 1 Stats'!F55</f>
        <v>1</v>
      </c>
      <c r="G151" s="38">
        <f>'Week 1 Stats'!G55</f>
        <v>0</v>
      </c>
      <c r="H151" s="38">
        <f>'Week 1 Stats'!H55</f>
        <v>0</v>
      </c>
      <c r="I151" s="38">
        <f>'Week 1 Stats'!I55</f>
        <v>0</v>
      </c>
      <c r="J151" s="38">
        <f>'Week 1 Stats'!J55</f>
        <v>0</v>
      </c>
      <c r="K151" s="38">
        <f>'Week 1 Stats'!K55</f>
        <v>1</v>
      </c>
      <c r="L151" s="38">
        <f>'Week 1 Stats'!L55</f>
        <v>1</v>
      </c>
      <c r="M151" s="38">
        <f>'Week 1 Stats'!M55</f>
        <v>1</v>
      </c>
      <c r="N151" s="38">
        <f>'Week 1 Stats'!N55</f>
        <v>0</v>
      </c>
      <c r="O151" s="38">
        <f>'Week 1 Stats'!O55</f>
        <v>2</v>
      </c>
      <c r="P151" s="38">
        <f>'Week 1 Stats'!P55</f>
        <v>1</v>
      </c>
      <c r="Q151" s="38">
        <f>'Week 1 Stats'!Q55</f>
        <v>0</v>
      </c>
      <c r="R151" s="38">
        <f>'Week 1 Stats'!R55</f>
        <v>0</v>
      </c>
      <c r="S151" s="38">
        <f>'Week 1 Stats'!S55</f>
        <v>0</v>
      </c>
      <c r="T151" s="38">
        <f>'Week 1 Stats'!T55</f>
        <v>4</v>
      </c>
      <c r="U151" s="39">
        <f>'Week 1 Stats'!U55</f>
        <v>14</v>
      </c>
    </row>
    <row r="152" spans="1:21" s="21" customFormat="1">
      <c r="A152" s="37">
        <f>'Week 1 Stats'!A56</f>
        <v>41298</v>
      </c>
      <c r="B152" s="38">
        <f>'Week 1 Stats'!B56</f>
        <v>9</v>
      </c>
      <c r="C152" s="38">
        <f>'Week 1 Stats'!C56</f>
        <v>2</v>
      </c>
      <c r="D152" s="38">
        <f>'Week 1 Stats'!D56</f>
        <v>3</v>
      </c>
      <c r="E152" s="38">
        <f>'Week 1 Stats'!E56</f>
        <v>0</v>
      </c>
      <c r="F152" s="38">
        <f>'Week 1 Stats'!F56</f>
        <v>23</v>
      </c>
      <c r="G152" s="38">
        <f>'Week 1 Stats'!G56</f>
        <v>0</v>
      </c>
      <c r="H152" s="38">
        <f>'Week 1 Stats'!H56</f>
        <v>0</v>
      </c>
      <c r="I152" s="38">
        <f>'Week 1 Stats'!I56</f>
        <v>0</v>
      </c>
      <c r="J152" s="38">
        <f>'Week 1 Stats'!J56</f>
        <v>1</v>
      </c>
      <c r="K152" s="38">
        <f>'Week 1 Stats'!K56</f>
        <v>0</v>
      </c>
      <c r="L152" s="38">
        <f>'Week 1 Stats'!L56</f>
        <v>4</v>
      </c>
      <c r="M152" s="38">
        <f>'Week 1 Stats'!M56</f>
        <v>5</v>
      </c>
      <c r="N152" s="38">
        <f>'Week 1 Stats'!N56</f>
        <v>2</v>
      </c>
      <c r="O152" s="38">
        <f>'Week 1 Stats'!O56</f>
        <v>3</v>
      </c>
      <c r="P152" s="38">
        <f>'Week 1 Stats'!P56</f>
        <v>15</v>
      </c>
      <c r="Q152" s="38">
        <f>'Week 1 Stats'!Q56</f>
        <v>0</v>
      </c>
      <c r="R152" s="38">
        <f>'Week 1 Stats'!R56</f>
        <v>4</v>
      </c>
      <c r="S152" s="38">
        <f>'Week 1 Stats'!S56</f>
        <v>0</v>
      </c>
      <c r="T152" s="38">
        <f>'Week 1 Stats'!T56</f>
        <v>1</v>
      </c>
      <c r="U152" s="39">
        <f>'Week 1 Stats'!U56</f>
        <v>72</v>
      </c>
    </row>
    <row r="153" spans="1:21" s="21" customFormat="1" ht="13.5" thickBot="1">
      <c r="A153" s="37">
        <f>'Week 1 Stats'!A57</f>
        <v>41299</v>
      </c>
      <c r="B153" s="38">
        <f>'Week 1 Stats'!B57</f>
        <v>5</v>
      </c>
      <c r="C153" s="38">
        <f>'Week 1 Stats'!C57</f>
        <v>1</v>
      </c>
      <c r="D153" s="38">
        <f>'Week 1 Stats'!D57</f>
        <v>1</v>
      </c>
      <c r="E153" s="38">
        <f>'Week 1 Stats'!E57</f>
        <v>0</v>
      </c>
      <c r="F153" s="38">
        <f>'Week 1 Stats'!F57</f>
        <v>19</v>
      </c>
      <c r="G153" s="38">
        <f>'Week 1 Stats'!G57</f>
        <v>0</v>
      </c>
      <c r="H153" s="38">
        <f>'Week 1 Stats'!H57</f>
        <v>0</v>
      </c>
      <c r="I153" s="38">
        <f>'Week 1 Stats'!I57</f>
        <v>1</v>
      </c>
      <c r="J153" s="38">
        <f>'Week 1 Stats'!J57</f>
        <v>0</v>
      </c>
      <c r="K153" s="38">
        <f>'Week 1 Stats'!K57</f>
        <v>2</v>
      </c>
      <c r="L153" s="38">
        <f>'Week 1 Stats'!L57</f>
        <v>5</v>
      </c>
      <c r="M153" s="38">
        <f>'Week 1 Stats'!M57</f>
        <v>4</v>
      </c>
      <c r="N153" s="38">
        <f>'Week 1 Stats'!N57</f>
        <v>5</v>
      </c>
      <c r="O153" s="38">
        <f>'Week 1 Stats'!O57</f>
        <v>2</v>
      </c>
      <c r="P153" s="38">
        <f>'Week 1 Stats'!P57</f>
        <v>3</v>
      </c>
      <c r="Q153" s="38">
        <f>'Week 1 Stats'!Q57</f>
        <v>0</v>
      </c>
      <c r="R153" s="38">
        <f>'Week 1 Stats'!R57</f>
        <v>5</v>
      </c>
      <c r="S153" s="38">
        <f>'Week 1 Stats'!S57</f>
        <v>0</v>
      </c>
      <c r="T153" s="38">
        <f>'Week 1 Stats'!T57</f>
        <v>1</v>
      </c>
      <c r="U153" s="39">
        <f>'Week 1 Stats'!U57</f>
        <v>54</v>
      </c>
    </row>
    <row r="154" spans="1:21" s="21" customFormat="1" ht="13.5" thickBot="1">
      <c r="A154" s="72" t="str">
        <f>'Week 1 Stats'!A58</f>
        <v>Week 1 Total</v>
      </c>
      <c r="B154" s="73">
        <f>SUM(B149:B153)</f>
        <v>18</v>
      </c>
      <c r="C154" s="73">
        <f t="shared" ref="C154:U154" si="6">SUM(C149:C153)</f>
        <v>4</v>
      </c>
      <c r="D154" s="73">
        <f t="shared" si="6"/>
        <v>7</v>
      </c>
      <c r="E154" s="73">
        <f t="shared" si="6"/>
        <v>0</v>
      </c>
      <c r="F154" s="73">
        <f t="shared" si="6"/>
        <v>48</v>
      </c>
      <c r="G154" s="73">
        <f t="shared" si="6"/>
        <v>0</v>
      </c>
      <c r="H154" s="73">
        <f t="shared" si="6"/>
        <v>0</v>
      </c>
      <c r="I154" s="73">
        <f t="shared" si="6"/>
        <v>1</v>
      </c>
      <c r="J154" s="73">
        <f t="shared" si="6"/>
        <v>1</v>
      </c>
      <c r="K154" s="73">
        <f t="shared" si="6"/>
        <v>5</v>
      </c>
      <c r="L154" s="73">
        <f t="shared" si="6"/>
        <v>13</v>
      </c>
      <c r="M154" s="73">
        <f t="shared" si="6"/>
        <v>17</v>
      </c>
      <c r="N154" s="73">
        <f t="shared" si="6"/>
        <v>11</v>
      </c>
      <c r="O154" s="73">
        <f t="shared" si="6"/>
        <v>8</v>
      </c>
      <c r="P154" s="73">
        <f t="shared" si="6"/>
        <v>24</v>
      </c>
      <c r="Q154" s="73">
        <f t="shared" si="6"/>
        <v>0</v>
      </c>
      <c r="R154" s="73">
        <f t="shared" si="6"/>
        <v>16</v>
      </c>
      <c r="S154" s="73">
        <f t="shared" si="6"/>
        <v>0</v>
      </c>
      <c r="T154" s="73">
        <f t="shared" si="6"/>
        <v>16</v>
      </c>
      <c r="U154" s="73">
        <f t="shared" si="6"/>
        <v>189</v>
      </c>
    </row>
    <row r="155" spans="1:21" s="21" customFormat="1">
      <c r="A155" s="37">
        <f>'Week 2 Stats'!A48</f>
        <v>41302</v>
      </c>
      <c r="B155" s="38">
        <f>'Week 2 Stats'!B48</f>
        <v>2</v>
      </c>
      <c r="C155" s="38">
        <f>'Week 2 Stats'!C48</f>
        <v>0</v>
      </c>
      <c r="D155" s="38">
        <f>'Week 2 Stats'!D48</f>
        <v>0</v>
      </c>
      <c r="E155" s="38">
        <f>'Week 2 Stats'!E48</f>
        <v>0</v>
      </c>
      <c r="F155" s="38">
        <f>'Week 2 Stats'!F48</f>
        <v>1</v>
      </c>
      <c r="G155" s="38">
        <f>'Week 2 Stats'!G48</f>
        <v>0</v>
      </c>
      <c r="H155" s="38">
        <f>'Week 2 Stats'!H48</f>
        <v>0</v>
      </c>
      <c r="I155" s="38">
        <f>'Week 2 Stats'!I48</f>
        <v>0</v>
      </c>
      <c r="J155" s="38">
        <f>'Week 2 Stats'!J48</f>
        <v>0</v>
      </c>
      <c r="K155" s="38">
        <f>'Week 2 Stats'!K48</f>
        <v>1</v>
      </c>
      <c r="L155" s="38">
        <f>'Week 2 Stats'!L48</f>
        <v>5</v>
      </c>
      <c r="M155" s="38">
        <f>'Week 2 Stats'!M48</f>
        <v>3</v>
      </c>
      <c r="N155" s="38">
        <f>'Week 2 Stats'!N48</f>
        <v>7</v>
      </c>
      <c r="O155" s="38">
        <f>'Week 2 Stats'!O48</f>
        <v>6</v>
      </c>
      <c r="P155" s="38">
        <f>'Week 2 Stats'!P48</f>
        <v>4</v>
      </c>
      <c r="Q155" s="38">
        <f>'Week 2 Stats'!Q48</f>
        <v>0</v>
      </c>
      <c r="R155" s="38">
        <f>'Week 2 Stats'!R48</f>
        <v>7</v>
      </c>
      <c r="S155" s="38">
        <f>'Week 2 Stats'!S48</f>
        <v>1</v>
      </c>
      <c r="T155" s="38">
        <f>'Week 2 Stats'!T48</f>
        <v>2</v>
      </c>
      <c r="U155" s="39">
        <f>'Week 2 Stats'!U48</f>
        <v>39</v>
      </c>
    </row>
    <row r="156" spans="1:21" s="21" customFormat="1">
      <c r="A156" s="37">
        <f>'Week 2 Stats'!A49</f>
        <v>41303</v>
      </c>
      <c r="B156" s="38">
        <f>'Week 2 Stats'!B49</f>
        <v>1</v>
      </c>
      <c r="C156" s="38">
        <f>'Week 2 Stats'!C49</f>
        <v>0</v>
      </c>
      <c r="D156" s="38">
        <f>'Week 2 Stats'!D49</f>
        <v>4</v>
      </c>
      <c r="E156" s="38">
        <f>'Week 2 Stats'!E49</f>
        <v>0</v>
      </c>
      <c r="F156" s="38">
        <f>'Week 2 Stats'!F49</f>
        <v>2</v>
      </c>
      <c r="G156" s="38">
        <f>'Week 2 Stats'!G49</f>
        <v>0</v>
      </c>
      <c r="H156" s="38">
        <f>'Week 2 Stats'!H49</f>
        <v>0</v>
      </c>
      <c r="I156" s="38">
        <f>'Week 2 Stats'!I49</f>
        <v>0</v>
      </c>
      <c r="J156" s="38">
        <f>'Week 2 Stats'!J49</f>
        <v>1</v>
      </c>
      <c r="K156" s="38">
        <f>'Week 2 Stats'!K49</f>
        <v>1</v>
      </c>
      <c r="L156" s="38">
        <f>'Week 2 Stats'!L49</f>
        <v>4</v>
      </c>
      <c r="M156" s="38">
        <f>'Week 2 Stats'!M49</f>
        <v>1</v>
      </c>
      <c r="N156" s="38">
        <f>'Week 2 Stats'!N49</f>
        <v>4</v>
      </c>
      <c r="O156" s="38">
        <f>'Week 2 Stats'!O49</f>
        <v>4</v>
      </c>
      <c r="P156" s="38">
        <f>'Week 2 Stats'!P49</f>
        <v>2</v>
      </c>
      <c r="Q156" s="38">
        <f>'Week 2 Stats'!Q49</f>
        <v>0</v>
      </c>
      <c r="R156" s="38">
        <f>'Week 2 Stats'!R49</f>
        <v>3</v>
      </c>
      <c r="S156" s="38">
        <f>'Week 2 Stats'!S49</f>
        <v>1</v>
      </c>
      <c r="T156" s="38">
        <f>'Week 2 Stats'!T49</f>
        <v>3</v>
      </c>
      <c r="U156" s="39">
        <f>'Week 2 Stats'!U49</f>
        <v>31</v>
      </c>
    </row>
    <row r="157" spans="1:21" s="21" customFormat="1">
      <c r="A157" s="37">
        <f>'Week 2 Stats'!A50</f>
        <v>41304</v>
      </c>
      <c r="B157" s="38">
        <f>'Week 2 Stats'!B50</f>
        <v>2</v>
      </c>
      <c r="C157" s="38">
        <f>'Week 2 Stats'!C50</f>
        <v>0</v>
      </c>
      <c r="D157" s="38">
        <f>'Week 2 Stats'!D50</f>
        <v>0</v>
      </c>
      <c r="E157" s="38">
        <f>'Week 2 Stats'!E50</f>
        <v>0</v>
      </c>
      <c r="F157" s="38">
        <f>'Week 2 Stats'!F50</f>
        <v>0</v>
      </c>
      <c r="G157" s="38">
        <f>'Week 2 Stats'!G50</f>
        <v>0</v>
      </c>
      <c r="H157" s="38">
        <f>'Week 2 Stats'!H50</f>
        <v>0</v>
      </c>
      <c r="I157" s="38">
        <f>'Week 2 Stats'!I50</f>
        <v>0</v>
      </c>
      <c r="J157" s="38">
        <f>'Week 2 Stats'!J50</f>
        <v>1</v>
      </c>
      <c r="K157" s="38">
        <f>'Week 2 Stats'!K50</f>
        <v>2</v>
      </c>
      <c r="L157" s="38">
        <f>'Week 2 Stats'!L50</f>
        <v>5</v>
      </c>
      <c r="M157" s="38">
        <f>'Week 2 Stats'!M50</f>
        <v>4</v>
      </c>
      <c r="N157" s="38">
        <f>'Week 2 Stats'!N50</f>
        <v>3</v>
      </c>
      <c r="O157" s="38">
        <f>'Week 2 Stats'!O50</f>
        <v>2</v>
      </c>
      <c r="P157" s="38">
        <f>'Week 2 Stats'!P50</f>
        <v>2</v>
      </c>
      <c r="Q157" s="38">
        <f>'Week 2 Stats'!Q50</f>
        <v>1</v>
      </c>
      <c r="R157" s="38">
        <f>'Week 2 Stats'!R50</f>
        <v>5</v>
      </c>
      <c r="S157" s="38">
        <f>'Week 2 Stats'!S50</f>
        <v>0</v>
      </c>
      <c r="T157" s="38">
        <f>'Week 2 Stats'!T50</f>
        <v>4</v>
      </c>
      <c r="U157" s="39">
        <f>'Week 2 Stats'!U50</f>
        <v>31</v>
      </c>
    </row>
    <row r="158" spans="1:21" s="21" customFormat="1">
      <c r="A158" s="37">
        <f>'Week 2 Stats'!A51</f>
        <v>41305</v>
      </c>
      <c r="B158" s="38">
        <f>'Week 2 Stats'!B51</f>
        <v>1</v>
      </c>
      <c r="C158" s="38">
        <f>'Week 2 Stats'!C51</f>
        <v>1</v>
      </c>
      <c r="D158" s="38">
        <f>'Week 2 Stats'!D51</f>
        <v>1</v>
      </c>
      <c r="E158" s="38">
        <f>'Week 2 Stats'!E51</f>
        <v>0</v>
      </c>
      <c r="F158" s="38">
        <f>'Week 2 Stats'!F51</f>
        <v>1</v>
      </c>
      <c r="G158" s="38">
        <f>'Week 2 Stats'!G51</f>
        <v>0</v>
      </c>
      <c r="H158" s="38">
        <f>'Week 2 Stats'!H51</f>
        <v>1</v>
      </c>
      <c r="I158" s="38">
        <f>'Week 2 Stats'!I51</f>
        <v>0</v>
      </c>
      <c r="J158" s="38">
        <f>'Week 2 Stats'!J51</f>
        <v>0</v>
      </c>
      <c r="K158" s="38">
        <f>'Week 2 Stats'!K51</f>
        <v>0</v>
      </c>
      <c r="L158" s="38">
        <f>'Week 2 Stats'!L51</f>
        <v>3</v>
      </c>
      <c r="M158" s="38">
        <f>'Week 2 Stats'!M51</f>
        <v>1</v>
      </c>
      <c r="N158" s="38">
        <f>'Week 2 Stats'!N51</f>
        <v>3</v>
      </c>
      <c r="O158" s="38">
        <f>'Week 2 Stats'!O51</f>
        <v>2</v>
      </c>
      <c r="P158" s="38">
        <f>'Week 2 Stats'!P51</f>
        <v>10</v>
      </c>
      <c r="Q158" s="38">
        <f>'Week 2 Stats'!Q51</f>
        <v>4</v>
      </c>
      <c r="R158" s="38">
        <f>'Week 2 Stats'!R51</f>
        <v>2</v>
      </c>
      <c r="S158" s="38">
        <f>'Week 2 Stats'!S51</f>
        <v>0</v>
      </c>
      <c r="T158" s="38">
        <f>'Week 2 Stats'!T51</f>
        <v>3</v>
      </c>
      <c r="U158" s="39">
        <f>'Week 2 Stats'!U51</f>
        <v>33</v>
      </c>
    </row>
    <row r="159" spans="1:21" s="21" customFormat="1" ht="13.5" thickBot="1">
      <c r="A159" s="37">
        <v>41215</v>
      </c>
      <c r="B159" s="38">
        <f>'Week 2 Stats'!B52</f>
        <v>6</v>
      </c>
      <c r="C159" s="38">
        <f>'Week 2 Stats'!C52</f>
        <v>0</v>
      </c>
      <c r="D159" s="38">
        <f>'Week 2 Stats'!D52</f>
        <v>0</v>
      </c>
      <c r="E159" s="38">
        <f>'Week 2 Stats'!E52</f>
        <v>0</v>
      </c>
      <c r="F159" s="38">
        <f>'Week 2 Stats'!F52</f>
        <v>21</v>
      </c>
      <c r="G159" s="38">
        <f>'Week 2 Stats'!G52</f>
        <v>0</v>
      </c>
      <c r="H159" s="38">
        <f>'Week 2 Stats'!H52</f>
        <v>0</v>
      </c>
      <c r="I159" s="38">
        <f>'Week 2 Stats'!I52</f>
        <v>0</v>
      </c>
      <c r="J159" s="38">
        <f>'Week 2 Stats'!J52</f>
        <v>2</v>
      </c>
      <c r="K159" s="38">
        <f>'Week 2 Stats'!K52</f>
        <v>1</v>
      </c>
      <c r="L159" s="38">
        <f>'Week 2 Stats'!L52</f>
        <v>1</v>
      </c>
      <c r="M159" s="38">
        <f>'Week 2 Stats'!M52</f>
        <v>4</v>
      </c>
      <c r="N159" s="38">
        <f>'Week 2 Stats'!N52</f>
        <v>1</v>
      </c>
      <c r="O159" s="38">
        <f>'Week 2 Stats'!O52</f>
        <v>1</v>
      </c>
      <c r="P159" s="38">
        <f>'Week 2 Stats'!P52</f>
        <v>5</v>
      </c>
      <c r="Q159" s="38">
        <f>'Week 2 Stats'!Q52</f>
        <v>0</v>
      </c>
      <c r="R159" s="38">
        <f>'Week 2 Stats'!R52</f>
        <v>2</v>
      </c>
      <c r="S159" s="38">
        <f>'Week 2 Stats'!S52</f>
        <v>0</v>
      </c>
      <c r="T159" s="38">
        <f>'Week 2 Stats'!T52</f>
        <v>1</v>
      </c>
      <c r="U159" s="39">
        <f>'Week 2 Stats'!U52</f>
        <v>45</v>
      </c>
    </row>
    <row r="160" spans="1:21" s="21" customFormat="1" ht="13.5" thickBot="1">
      <c r="A160" s="72" t="str">
        <f>'Week 2 Stats'!A53</f>
        <v>Week 2 Total</v>
      </c>
      <c r="B160" s="73">
        <f t="shared" ref="B160:U160" si="7">SUM(B155:B159)</f>
        <v>12</v>
      </c>
      <c r="C160" s="73">
        <f t="shared" si="7"/>
        <v>1</v>
      </c>
      <c r="D160" s="73">
        <f t="shared" si="7"/>
        <v>5</v>
      </c>
      <c r="E160" s="73">
        <f t="shared" si="7"/>
        <v>0</v>
      </c>
      <c r="F160" s="73">
        <f t="shared" si="7"/>
        <v>25</v>
      </c>
      <c r="G160" s="73">
        <f t="shared" si="7"/>
        <v>0</v>
      </c>
      <c r="H160" s="73">
        <f t="shared" si="7"/>
        <v>1</v>
      </c>
      <c r="I160" s="73">
        <f t="shared" si="7"/>
        <v>0</v>
      </c>
      <c r="J160" s="73">
        <f t="shared" si="7"/>
        <v>4</v>
      </c>
      <c r="K160" s="73">
        <f t="shared" si="7"/>
        <v>5</v>
      </c>
      <c r="L160" s="73">
        <f t="shared" si="7"/>
        <v>18</v>
      </c>
      <c r="M160" s="73">
        <f t="shared" si="7"/>
        <v>13</v>
      </c>
      <c r="N160" s="73">
        <f t="shared" si="7"/>
        <v>18</v>
      </c>
      <c r="O160" s="73">
        <f t="shared" si="7"/>
        <v>15</v>
      </c>
      <c r="P160" s="73">
        <f t="shared" si="7"/>
        <v>23</v>
      </c>
      <c r="Q160" s="73">
        <f t="shared" si="7"/>
        <v>5</v>
      </c>
      <c r="R160" s="73">
        <f t="shared" si="7"/>
        <v>19</v>
      </c>
      <c r="S160" s="73">
        <f t="shared" si="7"/>
        <v>2</v>
      </c>
      <c r="T160" s="73">
        <f t="shared" si="7"/>
        <v>13</v>
      </c>
      <c r="U160" s="73">
        <f t="shared" si="7"/>
        <v>179</v>
      </c>
    </row>
    <row r="161" spans="1:21" s="21" customFormat="1">
      <c r="A161" s="37">
        <f>'Week 3 Stats'!A40</f>
        <v>41309</v>
      </c>
      <c r="B161" s="38">
        <f>'Week 3 Stats'!B40</f>
        <v>3</v>
      </c>
      <c r="C161" s="38">
        <f>'Week 3 Stats'!C40</f>
        <v>0</v>
      </c>
      <c r="D161" s="38">
        <f>'Week 3 Stats'!D40</f>
        <v>0</v>
      </c>
      <c r="E161" s="38">
        <f>'Week 3 Stats'!E40</f>
        <v>0</v>
      </c>
      <c r="F161" s="38">
        <f>'Week 3 Stats'!F40</f>
        <v>1</v>
      </c>
      <c r="G161" s="38">
        <f>'Week 3 Stats'!G40</f>
        <v>0</v>
      </c>
      <c r="H161" s="38">
        <f>'Week 3 Stats'!H40</f>
        <v>0</v>
      </c>
      <c r="I161" s="38">
        <f>'Week 3 Stats'!I40</f>
        <v>0</v>
      </c>
      <c r="J161" s="38">
        <f>'Week 3 Stats'!J40</f>
        <v>0</v>
      </c>
      <c r="K161" s="38">
        <f>'Week 3 Stats'!K40</f>
        <v>2</v>
      </c>
      <c r="L161" s="38">
        <f>'Week 3 Stats'!L40</f>
        <v>3</v>
      </c>
      <c r="M161" s="38">
        <f>'Week 3 Stats'!M40</f>
        <v>5</v>
      </c>
      <c r="N161" s="38">
        <f>'Week 3 Stats'!N40</f>
        <v>4</v>
      </c>
      <c r="O161" s="38">
        <f>'Week 3 Stats'!O40</f>
        <v>1</v>
      </c>
      <c r="P161" s="38">
        <f>'Week 3 Stats'!P40</f>
        <v>1</v>
      </c>
      <c r="Q161" s="38">
        <f>'Week 3 Stats'!Q40</f>
        <v>4</v>
      </c>
      <c r="R161" s="38">
        <f>'Week 3 Stats'!R40</f>
        <v>1</v>
      </c>
      <c r="S161" s="38">
        <f>'Week 3 Stats'!S40</f>
        <v>1</v>
      </c>
      <c r="T161" s="38">
        <f>'Week 3 Stats'!T40</f>
        <v>36</v>
      </c>
      <c r="U161" s="39">
        <f>'Week 3 Stats'!U40</f>
        <v>62</v>
      </c>
    </row>
    <row r="162" spans="1:21" s="21" customFormat="1">
      <c r="A162" s="37">
        <f>'Week 3 Stats'!A41</f>
        <v>41310</v>
      </c>
      <c r="B162" s="38">
        <f>'Week 3 Stats'!B41</f>
        <v>4</v>
      </c>
      <c r="C162" s="38">
        <f>'Week 3 Stats'!C41</f>
        <v>0</v>
      </c>
      <c r="D162" s="38">
        <f>'Week 3 Stats'!D41</f>
        <v>3</v>
      </c>
      <c r="E162" s="38">
        <f>'Week 3 Stats'!E41</f>
        <v>0</v>
      </c>
      <c r="F162" s="38">
        <f>'Week 3 Stats'!F41</f>
        <v>1</v>
      </c>
      <c r="G162" s="38">
        <f>'Week 3 Stats'!G41</f>
        <v>0</v>
      </c>
      <c r="H162" s="38">
        <f>'Week 3 Stats'!H41</f>
        <v>0</v>
      </c>
      <c r="I162" s="38">
        <f>'Week 3 Stats'!I41</f>
        <v>0</v>
      </c>
      <c r="J162" s="38">
        <f>'Week 3 Stats'!J41</f>
        <v>0</v>
      </c>
      <c r="K162" s="38">
        <f>'Week 3 Stats'!K41</f>
        <v>2</v>
      </c>
      <c r="L162" s="38">
        <f>'Week 3 Stats'!L41</f>
        <v>1</v>
      </c>
      <c r="M162" s="38">
        <f>'Week 3 Stats'!M41</f>
        <v>2</v>
      </c>
      <c r="N162" s="38">
        <f>'Week 3 Stats'!N41</f>
        <v>3</v>
      </c>
      <c r="O162" s="38">
        <f>'Week 3 Stats'!O41</f>
        <v>2</v>
      </c>
      <c r="P162" s="38">
        <f>'Week 3 Stats'!P41</f>
        <v>0</v>
      </c>
      <c r="Q162" s="38">
        <f>'Week 3 Stats'!Q41</f>
        <v>4</v>
      </c>
      <c r="R162" s="38">
        <f>'Week 3 Stats'!R41</f>
        <v>3</v>
      </c>
      <c r="S162" s="38">
        <f>'Week 3 Stats'!S41</f>
        <v>2</v>
      </c>
      <c r="T162" s="38">
        <f>'Week 3 Stats'!T41</f>
        <v>9</v>
      </c>
      <c r="U162" s="39">
        <f>'Week 3 Stats'!U41</f>
        <v>36</v>
      </c>
    </row>
    <row r="163" spans="1:21" s="21" customFormat="1">
      <c r="A163" s="37">
        <f>'Week 3 Stats'!A42</f>
        <v>41311</v>
      </c>
      <c r="B163" s="38">
        <f>'Week 3 Stats'!B42</f>
        <v>0</v>
      </c>
      <c r="C163" s="38">
        <f>'Week 3 Stats'!C42</f>
        <v>3</v>
      </c>
      <c r="D163" s="38">
        <f>'Week 3 Stats'!D42</f>
        <v>0</v>
      </c>
      <c r="E163" s="38">
        <f>'Week 3 Stats'!E42</f>
        <v>1</v>
      </c>
      <c r="F163" s="38">
        <f>'Week 3 Stats'!F42</f>
        <v>0</v>
      </c>
      <c r="G163" s="38">
        <f>'Week 3 Stats'!G42</f>
        <v>0</v>
      </c>
      <c r="H163" s="38">
        <f>'Week 3 Stats'!H42</f>
        <v>1</v>
      </c>
      <c r="I163" s="38">
        <f>'Week 3 Stats'!I42</f>
        <v>0</v>
      </c>
      <c r="J163" s="38">
        <f>'Week 3 Stats'!J42</f>
        <v>2</v>
      </c>
      <c r="K163" s="38">
        <f>'Week 3 Stats'!K42</f>
        <v>0</v>
      </c>
      <c r="L163" s="38">
        <f>'Week 3 Stats'!L42</f>
        <v>4</v>
      </c>
      <c r="M163" s="38">
        <f>'Week 3 Stats'!M42</f>
        <v>4</v>
      </c>
      <c r="N163" s="38">
        <f>'Week 3 Stats'!N42</f>
        <v>3</v>
      </c>
      <c r="O163" s="38">
        <f>'Week 3 Stats'!O42</f>
        <v>3</v>
      </c>
      <c r="P163" s="38">
        <f>'Week 3 Stats'!P42</f>
        <v>5</v>
      </c>
      <c r="Q163" s="38">
        <f>'Week 3 Stats'!Q42</f>
        <v>0</v>
      </c>
      <c r="R163" s="38">
        <f>'Week 3 Stats'!R42</f>
        <v>1</v>
      </c>
      <c r="S163" s="38">
        <f>'Week 3 Stats'!S42</f>
        <v>0</v>
      </c>
      <c r="T163" s="38">
        <f>'Week 3 Stats'!T42</f>
        <v>2</v>
      </c>
      <c r="U163" s="39">
        <f>'Week 3 Stats'!U42</f>
        <v>29</v>
      </c>
    </row>
    <row r="164" spans="1:21" s="21" customFormat="1">
      <c r="A164" s="37">
        <f>'Week 3 Stats'!A43</f>
        <v>41312</v>
      </c>
      <c r="B164" s="38">
        <f>'Week 3 Stats'!B43</f>
        <v>0</v>
      </c>
      <c r="C164" s="38">
        <f>'Week 3 Stats'!C43</f>
        <v>1</v>
      </c>
      <c r="D164" s="38">
        <f>'Week 3 Stats'!D43</f>
        <v>0</v>
      </c>
      <c r="E164" s="38">
        <f>'Week 3 Stats'!E43</f>
        <v>0</v>
      </c>
      <c r="F164" s="38">
        <f>'Week 3 Stats'!F43</f>
        <v>0</v>
      </c>
      <c r="G164" s="38">
        <f>'Week 3 Stats'!G43</f>
        <v>0</v>
      </c>
      <c r="H164" s="38">
        <f>'Week 3 Stats'!H43</f>
        <v>1</v>
      </c>
      <c r="I164" s="38">
        <f>'Week 3 Stats'!I43</f>
        <v>0</v>
      </c>
      <c r="J164" s="38">
        <f>'Week 3 Stats'!J43</f>
        <v>2</v>
      </c>
      <c r="K164" s="38">
        <f>'Week 3 Stats'!K43</f>
        <v>4</v>
      </c>
      <c r="L164" s="38">
        <f>'Week 3 Stats'!L43</f>
        <v>4</v>
      </c>
      <c r="M164" s="38">
        <f>'Week 3 Stats'!M43</f>
        <v>2</v>
      </c>
      <c r="N164" s="38">
        <f>'Week 3 Stats'!N43</f>
        <v>6</v>
      </c>
      <c r="O164" s="38">
        <f>'Week 3 Stats'!O43</f>
        <v>1</v>
      </c>
      <c r="P164" s="38">
        <f>'Week 3 Stats'!P43</f>
        <v>0</v>
      </c>
      <c r="Q164" s="38">
        <f>'Week 3 Stats'!Q43</f>
        <v>2</v>
      </c>
      <c r="R164" s="38">
        <f>'Week 3 Stats'!R43</f>
        <v>4</v>
      </c>
      <c r="S164" s="38">
        <f>'Week 3 Stats'!S43</f>
        <v>0</v>
      </c>
      <c r="T164" s="38">
        <f>'Week 3 Stats'!T43</f>
        <v>14</v>
      </c>
      <c r="U164" s="39">
        <f>'Week 3 Stats'!U43</f>
        <v>41</v>
      </c>
    </row>
    <row r="165" spans="1:21" s="21" customFormat="1" ht="13.5" thickBot="1">
      <c r="A165" s="37">
        <f>'Week 3 Stats'!A44</f>
        <v>41313</v>
      </c>
      <c r="B165" s="38">
        <f>'Week 3 Stats'!B44</f>
        <v>3</v>
      </c>
      <c r="C165" s="38">
        <f>'Week 3 Stats'!C44</f>
        <v>0</v>
      </c>
      <c r="D165" s="38">
        <f>'Week 3 Stats'!D44</f>
        <v>0</v>
      </c>
      <c r="E165" s="38">
        <f>'Week 3 Stats'!E44</f>
        <v>0</v>
      </c>
      <c r="F165" s="38">
        <f>'Week 3 Stats'!F44</f>
        <v>7</v>
      </c>
      <c r="G165" s="38">
        <f>'Week 3 Stats'!G44</f>
        <v>0</v>
      </c>
      <c r="H165" s="38">
        <f>'Week 3 Stats'!H44</f>
        <v>0</v>
      </c>
      <c r="I165" s="38">
        <f>'Week 3 Stats'!I44</f>
        <v>0</v>
      </c>
      <c r="J165" s="38">
        <f>'Week 3 Stats'!J44</f>
        <v>2</v>
      </c>
      <c r="K165" s="38">
        <f>'Week 3 Stats'!K44</f>
        <v>1</v>
      </c>
      <c r="L165" s="38">
        <f>'Week 3 Stats'!L44</f>
        <v>1</v>
      </c>
      <c r="M165" s="38">
        <f>'Week 3 Stats'!M44</f>
        <v>1</v>
      </c>
      <c r="N165" s="38">
        <f>'Week 3 Stats'!N44</f>
        <v>5</v>
      </c>
      <c r="O165" s="38">
        <f>'Week 3 Stats'!O44</f>
        <v>3</v>
      </c>
      <c r="P165" s="38">
        <f>'Week 3 Stats'!P44</f>
        <v>1</v>
      </c>
      <c r="Q165" s="38">
        <f>'Week 3 Stats'!Q44</f>
        <v>1</v>
      </c>
      <c r="R165" s="38">
        <f>'Week 3 Stats'!R44</f>
        <v>3</v>
      </c>
      <c r="S165" s="38">
        <f>'Week 3 Stats'!S44</f>
        <v>0</v>
      </c>
      <c r="T165" s="38">
        <f>'Week 3 Stats'!T44</f>
        <v>10</v>
      </c>
      <c r="U165" s="39">
        <f>'Week 3 Stats'!U44</f>
        <v>38</v>
      </c>
    </row>
    <row r="166" spans="1:21" s="21" customFormat="1" ht="13.5" thickBot="1">
      <c r="A166" s="72" t="str">
        <f>'Week 3 Stats'!A45</f>
        <v>Week 3 Total</v>
      </c>
      <c r="B166" s="73">
        <f t="shared" ref="B166:U166" si="8">SUM(B161:B165)</f>
        <v>10</v>
      </c>
      <c r="C166" s="73">
        <f t="shared" si="8"/>
        <v>4</v>
      </c>
      <c r="D166" s="73">
        <f t="shared" si="8"/>
        <v>3</v>
      </c>
      <c r="E166" s="73">
        <f t="shared" si="8"/>
        <v>1</v>
      </c>
      <c r="F166" s="73">
        <f t="shared" si="8"/>
        <v>9</v>
      </c>
      <c r="G166" s="73">
        <f t="shared" si="8"/>
        <v>0</v>
      </c>
      <c r="H166" s="73">
        <f t="shared" si="8"/>
        <v>2</v>
      </c>
      <c r="I166" s="73">
        <f t="shared" si="8"/>
        <v>0</v>
      </c>
      <c r="J166" s="73">
        <f t="shared" si="8"/>
        <v>6</v>
      </c>
      <c r="K166" s="73">
        <f t="shared" si="8"/>
        <v>9</v>
      </c>
      <c r="L166" s="73">
        <f t="shared" si="8"/>
        <v>13</v>
      </c>
      <c r="M166" s="73">
        <f t="shared" si="8"/>
        <v>14</v>
      </c>
      <c r="N166" s="73">
        <f t="shared" si="8"/>
        <v>21</v>
      </c>
      <c r="O166" s="73">
        <f t="shared" si="8"/>
        <v>10</v>
      </c>
      <c r="P166" s="73">
        <f t="shared" si="8"/>
        <v>7</v>
      </c>
      <c r="Q166" s="73">
        <f t="shared" si="8"/>
        <v>11</v>
      </c>
      <c r="R166" s="73">
        <f t="shared" si="8"/>
        <v>12</v>
      </c>
      <c r="S166" s="73">
        <f t="shared" si="8"/>
        <v>3</v>
      </c>
      <c r="T166" s="73">
        <f t="shared" si="8"/>
        <v>71</v>
      </c>
      <c r="U166" s="73">
        <f t="shared" si="8"/>
        <v>206</v>
      </c>
    </row>
    <row r="167" spans="1:21" s="21" customFormat="1">
      <c r="A167" s="37">
        <f>'Week 4 Stats'!A51</f>
        <v>41316</v>
      </c>
      <c r="B167" s="38">
        <f>'Week 4 Stats'!B51</f>
        <v>1</v>
      </c>
      <c r="C167" s="38">
        <f>'Week 4 Stats'!C51</f>
        <v>0</v>
      </c>
      <c r="D167" s="38">
        <f>'Week 4 Stats'!D51</f>
        <v>0</v>
      </c>
      <c r="E167" s="38">
        <f>'Week 4 Stats'!E51</f>
        <v>0</v>
      </c>
      <c r="F167" s="38">
        <f>'Week 4 Stats'!F51</f>
        <v>3</v>
      </c>
      <c r="G167" s="38">
        <f>'Week 4 Stats'!G51</f>
        <v>0</v>
      </c>
      <c r="H167" s="38">
        <f>'Week 4 Stats'!H51</f>
        <v>1</v>
      </c>
      <c r="I167" s="38">
        <f>'Week 4 Stats'!I51</f>
        <v>1</v>
      </c>
      <c r="J167" s="38">
        <f>'Week 4 Stats'!J51</f>
        <v>2</v>
      </c>
      <c r="K167" s="38">
        <f>'Week 4 Stats'!K51</f>
        <v>2</v>
      </c>
      <c r="L167" s="38">
        <f>'Week 4 Stats'!L51</f>
        <v>2</v>
      </c>
      <c r="M167" s="38">
        <f>'Week 4 Stats'!M51</f>
        <v>7</v>
      </c>
      <c r="N167" s="38">
        <f>'Week 4 Stats'!N51</f>
        <v>5</v>
      </c>
      <c r="O167" s="38">
        <f>'Week 4 Stats'!O51</f>
        <v>3</v>
      </c>
      <c r="P167" s="38">
        <f>'Week 4 Stats'!P51</f>
        <v>1</v>
      </c>
      <c r="Q167" s="38">
        <f>'Week 4 Stats'!Q51</f>
        <v>2</v>
      </c>
      <c r="R167" s="38">
        <f>'Week 4 Stats'!R51</f>
        <v>5</v>
      </c>
      <c r="S167" s="38">
        <f>'Week 4 Stats'!S51</f>
        <v>0</v>
      </c>
      <c r="T167" s="38">
        <f>'Week 4 Stats'!T51</f>
        <v>2</v>
      </c>
      <c r="U167" s="39">
        <f>'Week 4 Stats'!U51</f>
        <v>37</v>
      </c>
    </row>
    <row r="168" spans="1:21" s="21" customFormat="1">
      <c r="A168" s="37">
        <f>'Week 4 Stats'!A52</f>
        <v>41317</v>
      </c>
      <c r="B168" s="38">
        <f>'Week 4 Stats'!B52</f>
        <v>1</v>
      </c>
      <c r="C168" s="38">
        <f>'Week 4 Stats'!C52</f>
        <v>0</v>
      </c>
      <c r="D168" s="38">
        <f>'Week 4 Stats'!D52</f>
        <v>2</v>
      </c>
      <c r="E168" s="38">
        <f>'Week 4 Stats'!E52</f>
        <v>0</v>
      </c>
      <c r="F168" s="38">
        <f>'Week 4 Stats'!F52</f>
        <v>1</v>
      </c>
      <c r="G168" s="38">
        <f>'Week 4 Stats'!G52</f>
        <v>0</v>
      </c>
      <c r="H168" s="38">
        <f>'Week 4 Stats'!H52</f>
        <v>0</v>
      </c>
      <c r="I168" s="38">
        <f>'Week 4 Stats'!I52</f>
        <v>1</v>
      </c>
      <c r="J168" s="38">
        <f>'Week 4 Stats'!J52</f>
        <v>2</v>
      </c>
      <c r="K168" s="38">
        <f>'Week 4 Stats'!K52</f>
        <v>1</v>
      </c>
      <c r="L168" s="38">
        <f>'Week 4 Stats'!L52</f>
        <v>2</v>
      </c>
      <c r="M168" s="38">
        <f>'Week 4 Stats'!M52</f>
        <v>3</v>
      </c>
      <c r="N168" s="38">
        <f>'Week 4 Stats'!N52</f>
        <v>1</v>
      </c>
      <c r="O168" s="38">
        <f>'Week 4 Stats'!O52</f>
        <v>2</v>
      </c>
      <c r="P168" s="38">
        <f>'Week 4 Stats'!P52</f>
        <v>7</v>
      </c>
      <c r="Q168" s="38">
        <f>'Week 4 Stats'!Q52</f>
        <v>2</v>
      </c>
      <c r="R168" s="38">
        <f>'Week 4 Stats'!R52</f>
        <v>2</v>
      </c>
      <c r="S168" s="38">
        <f>'Week 4 Stats'!S52</f>
        <v>0</v>
      </c>
      <c r="T168" s="38">
        <f>'Week 4 Stats'!T52</f>
        <v>1</v>
      </c>
      <c r="U168" s="39">
        <f>'Week 4 Stats'!U52</f>
        <v>28</v>
      </c>
    </row>
    <row r="169" spans="1:21" s="21" customFormat="1">
      <c r="A169" s="37">
        <f>'Week 4 Stats'!A53</f>
        <v>41318</v>
      </c>
      <c r="B169" s="38">
        <f>'Week 4 Stats'!B53</f>
        <v>4</v>
      </c>
      <c r="C169" s="38">
        <f>'Week 4 Stats'!C53</f>
        <v>1</v>
      </c>
      <c r="D169" s="38">
        <f>'Week 4 Stats'!D53</f>
        <v>0</v>
      </c>
      <c r="E169" s="38">
        <f>'Week 4 Stats'!E53</f>
        <v>0</v>
      </c>
      <c r="F169" s="38">
        <f>'Week 4 Stats'!F53</f>
        <v>0</v>
      </c>
      <c r="G169" s="38">
        <f>'Week 4 Stats'!G53</f>
        <v>0</v>
      </c>
      <c r="H169" s="38">
        <f>'Week 4 Stats'!H53</f>
        <v>0</v>
      </c>
      <c r="I169" s="38">
        <f>'Week 4 Stats'!I53</f>
        <v>0</v>
      </c>
      <c r="J169" s="38">
        <f>'Week 4 Stats'!J53</f>
        <v>3</v>
      </c>
      <c r="K169" s="38">
        <f>'Week 4 Stats'!K53</f>
        <v>1</v>
      </c>
      <c r="L169" s="38">
        <f>'Week 4 Stats'!L53</f>
        <v>3</v>
      </c>
      <c r="M169" s="38">
        <f>'Week 4 Stats'!M53</f>
        <v>2</v>
      </c>
      <c r="N169" s="38">
        <f>'Week 4 Stats'!N53</f>
        <v>2</v>
      </c>
      <c r="O169" s="38">
        <f>'Week 4 Stats'!O53</f>
        <v>2</v>
      </c>
      <c r="P169" s="38">
        <f>'Week 4 Stats'!P53</f>
        <v>3</v>
      </c>
      <c r="Q169" s="38">
        <f>'Week 4 Stats'!Q53</f>
        <v>0</v>
      </c>
      <c r="R169" s="38">
        <f>'Week 4 Stats'!R53</f>
        <v>2</v>
      </c>
      <c r="S169" s="38">
        <f>'Week 4 Stats'!S53</f>
        <v>0</v>
      </c>
      <c r="T169" s="38">
        <f>'Week 4 Stats'!T53</f>
        <v>3</v>
      </c>
      <c r="U169" s="39">
        <f>'Week 4 Stats'!U53</f>
        <v>26</v>
      </c>
    </row>
    <row r="170" spans="1:21" s="21" customFormat="1">
      <c r="A170" s="37">
        <f>'Week 4 Stats'!A54</f>
        <v>41319</v>
      </c>
      <c r="B170" s="38">
        <f>'Week 4 Stats'!B54</f>
        <v>0</v>
      </c>
      <c r="C170" s="38">
        <f>'Week 4 Stats'!C54</f>
        <v>0</v>
      </c>
      <c r="D170" s="38">
        <f>'Week 4 Stats'!D54</f>
        <v>2</v>
      </c>
      <c r="E170" s="38">
        <f>'Week 4 Stats'!E54</f>
        <v>1</v>
      </c>
      <c r="F170" s="38">
        <f>'Week 4 Stats'!F54</f>
        <v>0</v>
      </c>
      <c r="G170" s="38">
        <f>'Week 4 Stats'!G54</f>
        <v>2</v>
      </c>
      <c r="H170" s="38">
        <f>'Week 4 Stats'!H54</f>
        <v>2</v>
      </c>
      <c r="I170" s="38">
        <f>'Week 4 Stats'!I54</f>
        <v>0</v>
      </c>
      <c r="J170" s="38">
        <f>'Week 4 Stats'!J54</f>
        <v>2</v>
      </c>
      <c r="K170" s="38">
        <f>'Week 4 Stats'!K54</f>
        <v>2</v>
      </c>
      <c r="L170" s="38">
        <f>'Week 4 Stats'!L54</f>
        <v>4</v>
      </c>
      <c r="M170" s="38">
        <f>'Week 4 Stats'!M54</f>
        <v>7</v>
      </c>
      <c r="N170" s="38">
        <f>'Week 4 Stats'!N54</f>
        <v>2</v>
      </c>
      <c r="O170" s="38">
        <f>'Week 4 Stats'!O54</f>
        <v>1</v>
      </c>
      <c r="P170" s="38">
        <f>'Week 4 Stats'!P54</f>
        <v>3</v>
      </c>
      <c r="Q170" s="38">
        <f>'Week 4 Stats'!Q54</f>
        <v>5</v>
      </c>
      <c r="R170" s="38">
        <f>'Week 4 Stats'!R54</f>
        <v>2</v>
      </c>
      <c r="S170" s="38">
        <f>'Week 4 Stats'!S54</f>
        <v>0</v>
      </c>
      <c r="T170" s="38">
        <f>'Week 4 Stats'!T54</f>
        <v>3</v>
      </c>
      <c r="U170" s="39">
        <f>'Week 4 Stats'!U54</f>
        <v>38</v>
      </c>
    </row>
    <row r="171" spans="1:21" s="21" customFormat="1" ht="13.5" thickBot="1">
      <c r="A171" s="37">
        <f>'Week 4 Stats'!A55</f>
        <v>41320</v>
      </c>
      <c r="B171" s="38">
        <f>'Week 4 Stats'!B55</f>
        <v>5</v>
      </c>
      <c r="C171" s="38">
        <f>'Week 4 Stats'!C55</f>
        <v>0</v>
      </c>
      <c r="D171" s="38">
        <f>'Week 4 Stats'!D55</f>
        <v>1</v>
      </c>
      <c r="E171" s="38">
        <f>'Week 4 Stats'!E55</f>
        <v>0</v>
      </c>
      <c r="F171" s="38">
        <f>'Week 4 Stats'!F55</f>
        <v>2</v>
      </c>
      <c r="G171" s="38">
        <f>'Week 4 Stats'!G55</f>
        <v>2</v>
      </c>
      <c r="H171" s="38">
        <f>'Week 4 Stats'!H55</f>
        <v>0</v>
      </c>
      <c r="I171" s="38">
        <f>'Week 4 Stats'!I55</f>
        <v>0</v>
      </c>
      <c r="J171" s="38">
        <f>'Week 4 Stats'!J55</f>
        <v>2</v>
      </c>
      <c r="K171" s="38">
        <f>'Week 4 Stats'!K55</f>
        <v>0</v>
      </c>
      <c r="L171" s="38">
        <f>'Week 4 Stats'!L55</f>
        <v>3</v>
      </c>
      <c r="M171" s="38">
        <f>'Week 4 Stats'!M55</f>
        <v>0</v>
      </c>
      <c r="N171" s="38">
        <f>'Week 4 Stats'!N55</f>
        <v>2</v>
      </c>
      <c r="O171" s="38">
        <f>'Week 4 Stats'!O55</f>
        <v>4</v>
      </c>
      <c r="P171" s="38">
        <f>'Week 4 Stats'!P55</f>
        <v>1</v>
      </c>
      <c r="Q171" s="38">
        <f>'Week 4 Stats'!Q55</f>
        <v>0</v>
      </c>
      <c r="R171" s="38">
        <f>'Week 4 Stats'!R55</f>
        <v>2</v>
      </c>
      <c r="S171" s="38">
        <f>'Week 4 Stats'!S55</f>
        <v>0</v>
      </c>
      <c r="T171" s="38">
        <f>'Week 4 Stats'!T55</f>
        <v>2</v>
      </c>
      <c r="U171" s="39">
        <f>'Week 4 Stats'!U55</f>
        <v>26</v>
      </c>
    </row>
    <row r="172" spans="1:21" s="21" customFormat="1" ht="13.5" thickBot="1">
      <c r="A172" s="72" t="str">
        <f>'Week 4 Stats'!A56</f>
        <v>Week 4 Total</v>
      </c>
      <c r="B172" s="73">
        <f t="shared" ref="B172:U172" si="9">SUM(B167:B171)</f>
        <v>11</v>
      </c>
      <c r="C172" s="73">
        <f t="shared" si="9"/>
        <v>1</v>
      </c>
      <c r="D172" s="73">
        <f t="shared" si="9"/>
        <v>5</v>
      </c>
      <c r="E172" s="73">
        <f t="shared" si="9"/>
        <v>1</v>
      </c>
      <c r="F172" s="73">
        <f t="shared" si="9"/>
        <v>6</v>
      </c>
      <c r="G172" s="73">
        <f t="shared" si="9"/>
        <v>4</v>
      </c>
      <c r="H172" s="73">
        <f t="shared" si="9"/>
        <v>3</v>
      </c>
      <c r="I172" s="73">
        <f t="shared" si="9"/>
        <v>2</v>
      </c>
      <c r="J172" s="73">
        <f t="shared" si="9"/>
        <v>11</v>
      </c>
      <c r="K172" s="73">
        <f t="shared" si="9"/>
        <v>6</v>
      </c>
      <c r="L172" s="73">
        <f t="shared" si="9"/>
        <v>14</v>
      </c>
      <c r="M172" s="73">
        <f t="shared" si="9"/>
        <v>19</v>
      </c>
      <c r="N172" s="73">
        <f t="shared" si="9"/>
        <v>12</v>
      </c>
      <c r="O172" s="73">
        <f t="shared" si="9"/>
        <v>12</v>
      </c>
      <c r="P172" s="73">
        <f t="shared" si="9"/>
        <v>15</v>
      </c>
      <c r="Q172" s="73">
        <f t="shared" si="9"/>
        <v>9</v>
      </c>
      <c r="R172" s="73">
        <f t="shared" si="9"/>
        <v>13</v>
      </c>
      <c r="S172" s="73">
        <f t="shared" si="9"/>
        <v>0</v>
      </c>
      <c r="T172" s="73">
        <f t="shared" si="9"/>
        <v>11</v>
      </c>
      <c r="U172" s="73">
        <f t="shared" si="9"/>
        <v>155</v>
      </c>
    </row>
    <row r="173" spans="1:21" s="21" customFormat="1">
      <c r="A173" s="37">
        <f>'Week 5 Stats'!A37</f>
        <v>41323</v>
      </c>
      <c r="B173" s="38">
        <f>'Week 5 Stats'!B37</f>
        <v>5</v>
      </c>
      <c r="C173" s="38">
        <f>'Week 5 Stats'!C37</f>
        <v>1</v>
      </c>
      <c r="D173" s="38">
        <f>'Week 5 Stats'!D37</f>
        <v>3</v>
      </c>
      <c r="E173" s="38">
        <f>'Week 5 Stats'!E37</f>
        <v>0</v>
      </c>
      <c r="F173" s="38">
        <f>'Week 5 Stats'!F37</f>
        <v>1</v>
      </c>
      <c r="G173" s="38">
        <f>'Week 5 Stats'!G37</f>
        <v>1</v>
      </c>
      <c r="H173" s="38">
        <f>'Week 5 Stats'!H37</f>
        <v>0</v>
      </c>
      <c r="I173" s="38">
        <f>'Week 5 Stats'!I37</f>
        <v>0</v>
      </c>
      <c r="J173" s="38">
        <f>'Week 5 Stats'!J37</f>
        <v>1</v>
      </c>
      <c r="K173" s="38">
        <f>'Week 5 Stats'!K37</f>
        <v>1</v>
      </c>
      <c r="L173" s="38">
        <f>'Week 5 Stats'!L37</f>
        <v>3</v>
      </c>
      <c r="M173" s="38">
        <f>'Week 5 Stats'!M37</f>
        <v>3</v>
      </c>
      <c r="N173" s="38">
        <f>'Week 5 Stats'!N37</f>
        <v>3</v>
      </c>
      <c r="O173" s="38">
        <f>'Week 5 Stats'!O37</f>
        <v>1</v>
      </c>
      <c r="P173" s="38">
        <f>'Week 5 Stats'!P37</f>
        <v>3</v>
      </c>
      <c r="Q173" s="38">
        <f>'Week 5 Stats'!Q37</f>
        <v>1</v>
      </c>
      <c r="R173" s="38">
        <f>'Week 5 Stats'!R37</f>
        <v>2</v>
      </c>
      <c r="S173" s="38">
        <f>'Week 5 Stats'!S37</f>
        <v>0</v>
      </c>
      <c r="T173" s="38">
        <f>'Week 5 Stats'!T37</f>
        <v>7</v>
      </c>
      <c r="U173" s="39">
        <f>'Week 5 Stats'!U37</f>
        <v>36</v>
      </c>
    </row>
    <row r="174" spans="1:21" s="21" customFormat="1" ht="13.5" thickBot="1">
      <c r="A174" s="37">
        <f>'Week 5 Stats'!A39</f>
        <v>41325</v>
      </c>
      <c r="B174" s="38">
        <f>'Week 5 Stats'!B39</f>
        <v>1</v>
      </c>
      <c r="C174" s="38">
        <f>'Week 5 Stats'!C39</f>
        <v>2</v>
      </c>
      <c r="D174" s="38">
        <f>'Week 5 Stats'!D39</f>
        <v>0</v>
      </c>
      <c r="E174" s="38">
        <f>'Week 5 Stats'!E39</f>
        <v>1</v>
      </c>
      <c r="F174" s="38">
        <f>'Week 5 Stats'!F39</f>
        <v>2</v>
      </c>
      <c r="G174" s="38">
        <f>'Week 5 Stats'!G39</f>
        <v>2</v>
      </c>
      <c r="H174" s="38">
        <f>'Week 5 Stats'!H39</f>
        <v>0</v>
      </c>
      <c r="I174" s="38">
        <f>'Week 5 Stats'!I39</f>
        <v>8</v>
      </c>
      <c r="J174" s="38">
        <f>'Week 5 Stats'!J39</f>
        <v>0</v>
      </c>
      <c r="K174" s="38">
        <f>'Week 5 Stats'!K39</f>
        <v>0</v>
      </c>
      <c r="L174" s="38">
        <f>'Week 5 Stats'!L39</f>
        <v>3</v>
      </c>
      <c r="M174" s="38">
        <f>'Week 5 Stats'!M39</f>
        <v>1</v>
      </c>
      <c r="N174" s="38">
        <f>'Week 5 Stats'!N39</f>
        <v>2</v>
      </c>
      <c r="O174" s="38">
        <f>'Week 5 Stats'!O39</f>
        <v>2</v>
      </c>
      <c r="P174" s="38">
        <f>'Week 5 Stats'!P39</f>
        <v>0</v>
      </c>
      <c r="Q174" s="38">
        <f>'Week 5 Stats'!Q39</f>
        <v>0</v>
      </c>
      <c r="R174" s="38">
        <f>'Week 5 Stats'!R39</f>
        <v>2</v>
      </c>
      <c r="S174" s="38">
        <f>'Week 5 Stats'!S39</f>
        <v>0</v>
      </c>
      <c r="T174" s="38">
        <f>'Week 5 Stats'!T39</f>
        <v>1</v>
      </c>
      <c r="U174" s="39">
        <f>'Week 5 Stats'!U39</f>
        <v>27</v>
      </c>
    </row>
    <row r="175" spans="1:21" s="21" customFormat="1" ht="13.5" thickBot="1">
      <c r="A175" s="72" t="str">
        <f>'Week 5 Stats'!A40</f>
        <v>Week 5 Total</v>
      </c>
      <c r="B175" s="73">
        <f t="shared" ref="B175:U175" si="10">SUM(B173:B174)</f>
        <v>6</v>
      </c>
      <c r="C175" s="73">
        <f t="shared" si="10"/>
        <v>3</v>
      </c>
      <c r="D175" s="73">
        <f t="shared" si="10"/>
        <v>3</v>
      </c>
      <c r="E175" s="73">
        <f t="shared" si="10"/>
        <v>1</v>
      </c>
      <c r="F175" s="73">
        <f t="shared" si="10"/>
        <v>3</v>
      </c>
      <c r="G175" s="73">
        <f t="shared" si="10"/>
        <v>3</v>
      </c>
      <c r="H175" s="73">
        <f t="shared" si="10"/>
        <v>0</v>
      </c>
      <c r="I175" s="73">
        <f t="shared" si="10"/>
        <v>8</v>
      </c>
      <c r="J175" s="73">
        <f t="shared" si="10"/>
        <v>1</v>
      </c>
      <c r="K175" s="73">
        <f t="shared" si="10"/>
        <v>1</v>
      </c>
      <c r="L175" s="73">
        <f t="shared" si="10"/>
        <v>6</v>
      </c>
      <c r="M175" s="73">
        <f t="shared" si="10"/>
        <v>4</v>
      </c>
      <c r="N175" s="73">
        <f t="shared" si="10"/>
        <v>5</v>
      </c>
      <c r="O175" s="73">
        <f t="shared" si="10"/>
        <v>3</v>
      </c>
      <c r="P175" s="73">
        <f t="shared" si="10"/>
        <v>3</v>
      </c>
      <c r="Q175" s="73">
        <f t="shared" si="10"/>
        <v>1</v>
      </c>
      <c r="R175" s="73">
        <f t="shared" si="10"/>
        <v>4</v>
      </c>
      <c r="S175" s="73">
        <f t="shared" si="10"/>
        <v>0</v>
      </c>
      <c r="T175" s="73">
        <f t="shared" si="10"/>
        <v>8</v>
      </c>
      <c r="U175" s="73">
        <f t="shared" si="10"/>
        <v>63</v>
      </c>
    </row>
    <row r="176" spans="1:21" s="21" customFormat="1" ht="13.5" thickBot="1">
      <c r="A176" s="69" t="s">
        <v>57</v>
      </c>
      <c r="B176" s="73">
        <f t="shared" ref="B176:U176" si="11">SUM(B154+B160+B166+B172+B175)</f>
        <v>57</v>
      </c>
      <c r="C176" s="73">
        <f t="shared" si="11"/>
        <v>13</v>
      </c>
      <c r="D176" s="73">
        <f t="shared" si="11"/>
        <v>23</v>
      </c>
      <c r="E176" s="73">
        <f t="shared" si="11"/>
        <v>3</v>
      </c>
      <c r="F176" s="73">
        <f t="shared" si="11"/>
        <v>91</v>
      </c>
      <c r="G176" s="73">
        <f t="shared" si="11"/>
        <v>7</v>
      </c>
      <c r="H176" s="73">
        <f t="shared" si="11"/>
        <v>6</v>
      </c>
      <c r="I176" s="73">
        <f t="shared" si="11"/>
        <v>11</v>
      </c>
      <c r="J176" s="73">
        <f t="shared" si="11"/>
        <v>23</v>
      </c>
      <c r="K176" s="73">
        <f t="shared" si="11"/>
        <v>26</v>
      </c>
      <c r="L176" s="73">
        <f t="shared" si="11"/>
        <v>64</v>
      </c>
      <c r="M176" s="73">
        <f t="shared" si="11"/>
        <v>67</v>
      </c>
      <c r="N176" s="73">
        <f t="shared" si="11"/>
        <v>67</v>
      </c>
      <c r="O176" s="73">
        <f t="shared" si="11"/>
        <v>48</v>
      </c>
      <c r="P176" s="73">
        <f t="shared" si="11"/>
        <v>72</v>
      </c>
      <c r="Q176" s="73">
        <f t="shared" si="11"/>
        <v>26</v>
      </c>
      <c r="R176" s="73">
        <f t="shared" si="11"/>
        <v>64</v>
      </c>
      <c r="S176" s="73">
        <f t="shared" si="11"/>
        <v>5</v>
      </c>
      <c r="T176" s="73">
        <f t="shared" si="11"/>
        <v>119</v>
      </c>
      <c r="U176" s="73">
        <f t="shared" si="11"/>
        <v>792</v>
      </c>
    </row>
    <row r="177" spans="1:21" s="21" customFormat="1" ht="26.25">
      <c r="A177" s="134">
        <v>41233</v>
      </c>
      <c r="B177" s="134"/>
      <c r="C177" s="134"/>
      <c r="D177" s="134"/>
      <c r="E177" s="134"/>
      <c r="F177" s="134"/>
      <c r="G177" s="134"/>
      <c r="H177" s="134"/>
      <c r="I177" s="134"/>
      <c r="J177" s="134"/>
      <c r="K177"/>
      <c r="L177"/>
      <c r="M177"/>
      <c r="N177"/>
      <c r="O177"/>
      <c r="P177"/>
      <c r="Q177"/>
      <c r="R177"/>
      <c r="S177"/>
      <c r="T177"/>
      <c r="U177"/>
    </row>
    <row r="178" spans="1:21" s="21" customFormat="1" ht="13.5" thickBot="1">
      <c r="A178"/>
      <c r="B178"/>
      <c r="C178"/>
      <c r="D178"/>
      <c r="E178"/>
      <c r="F178"/>
      <c r="G178"/>
      <c r="H178"/>
      <c r="I178"/>
      <c r="J178"/>
      <c r="K178"/>
      <c r="L178"/>
      <c r="M178"/>
      <c r="N178"/>
      <c r="O178"/>
      <c r="P178"/>
      <c r="Q178"/>
      <c r="R178"/>
      <c r="S178"/>
      <c r="T178"/>
      <c r="U178"/>
    </row>
    <row r="179" spans="1:21" s="21" customFormat="1" ht="21" thickBot="1">
      <c r="A179" s="136" t="s">
        <v>52</v>
      </c>
      <c r="B179" s="137"/>
      <c r="C179" s="137"/>
      <c r="D179" s="137"/>
      <c r="E179" s="137"/>
      <c r="F179" s="137"/>
      <c r="G179" s="137"/>
      <c r="H179" s="137"/>
      <c r="I179" s="137"/>
      <c r="J179" s="138"/>
      <c r="K179"/>
      <c r="L179"/>
      <c r="M179"/>
      <c r="N179"/>
      <c r="O179"/>
      <c r="P179"/>
      <c r="Q179"/>
      <c r="R179"/>
      <c r="S179"/>
      <c r="T179"/>
      <c r="U179"/>
    </row>
    <row r="180" spans="1:21" ht="51.75" thickBot="1">
      <c r="A180" s="40" t="s">
        <v>0</v>
      </c>
      <c r="B180" s="41" t="s">
        <v>24</v>
      </c>
      <c r="C180" s="41" t="s">
        <v>48</v>
      </c>
      <c r="D180" s="41" t="s">
        <v>25</v>
      </c>
      <c r="E180" s="41" t="s">
        <v>49</v>
      </c>
      <c r="F180" s="41" t="s">
        <v>45</v>
      </c>
      <c r="G180" s="41" t="s">
        <v>50</v>
      </c>
      <c r="H180" s="41" t="s">
        <v>46</v>
      </c>
      <c r="I180" s="41" t="s">
        <v>51</v>
      </c>
      <c r="J180" s="42" t="s">
        <v>47</v>
      </c>
      <c r="K180" s="1"/>
      <c r="L180" s="1"/>
      <c r="M180" s="1"/>
      <c r="N180" s="1"/>
      <c r="O180" s="1"/>
      <c r="P180" s="1"/>
      <c r="Q180" s="1"/>
      <c r="R180" s="1"/>
      <c r="S180" s="1"/>
      <c r="T180" s="1"/>
      <c r="U180" s="1"/>
    </row>
    <row r="181" spans="1:21">
      <c r="A181" s="3">
        <f>'Week 1 Stats'!A63</f>
        <v>41295</v>
      </c>
      <c r="B181" s="10">
        <f>'Week 1 Stats'!B63</f>
        <v>13</v>
      </c>
      <c r="C181" s="44">
        <f>'Week 1 Stats'!C63</f>
        <v>0.26530612244897961</v>
      </c>
      <c r="D181" s="10">
        <f>'Week 1 Stats'!D63</f>
        <v>7</v>
      </c>
      <c r="E181" s="44">
        <f>'Week 1 Stats'!E63</f>
        <v>0.14285714285714285</v>
      </c>
      <c r="F181" s="10">
        <f>'Week 1 Stats'!F63</f>
        <v>17</v>
      </c>
      <c r="G181" s="44">
        <f>'Week 1 Stats'!G63</f>
        <v>0.34693877551020408</v>
      </c>
      <c r="H181" s="10">
        <f>'Week 1 Stats'!H63</f>
        <v>2</v>
      </c>
      <c r="I181" s="44">
        <f>'Week 1 Stats'!I63</f>
        <v>4.0816326530612242E-2</v>
      </c>
      <c r="J181" s="11">
        <f>'Week 1 Stats'!J63</f>
        <v>8</v>
      </c>
    </row>
    <row r="182" spans="1:21">
      <c r="A182" s="3">
        <f>'Week 1 Stats'!A64</f>
        <v>41296</v>
      </c>
      <c r="B182" s="10">
        <f>'Week 1 Stats'!B64</f>
        <v>20</v>
      </c>
      <c r="C182" s="44">
        <f>'Week 1 Stats'!C64</f>
        <v>0.33</v>
      </c>
      <c r="D182" s="10">
        <f>'Week 1 Stats'!D64</f>
        <v>16</v>
      </c>
      <c r="E182" s="44">
        <f>'Week 1 Stats'!E64</f>
        <v>0.28999999999999998</v>
      </c>
      <c r="F182" s="10">
        <f>'Week 1 Stats'!F64</f>
        <v>7</v>
      </c>
      <c r="G182" s="44">
        <f>'Week 1 Stats'!G64</f>
        <v>0.14000000000000001</v>
      </c>
      <c r="H182" s="10">
        <f>'Week 1 Stats'!H64</f>
        <v>0</v>
      </c>
      <c r="I182" s="44">
        <f>'Week 1 Stats'!I64</f>
        <v>0</v>
      </c>
      <c r="J182" s="11">
        <f>'Week 1 Stats'!J64</f>
        <v>7</v>
      </c>
    </row>
    <row r="183" spans="1:21" s="1" customFormat="1" ht="12.75" customHeight="1">
      <c r="A183" s="3">
        <f>'Week 1 Stats'!A65</f>
        <v>41297</v>
      </c>
      <c r="B183" s="10">
        <f>'Week 1 Stats'!B65</f>
        <v>15</v>
      </c>
      <c r="C183" s="44">
        <f>'Week 1 Stats'!C65</f>
        <v>1.0714285714285714</v>
      </c>
      <c r="D183" s="10">
        <f>'Week 1 Stats'!D65</f>
        <v>16</v>
      </c>
      <c r="E183" s="44">
        <f>'Week 1 Stats'!E65</f>
        <v>1.1428571428571428</v>
      </c>
      <c r="F183" s="10">
        <f>'Week 1 Stats'!F65</f>
        <v>10</v>
      </c>
      <c r="G183" s="44">
        <f>'Week 1 Stats'!G65</f>
        <v>0.7142857142857143</v>
      </c>
      <c r="H183" s="10">
        <f>'Week 1 Stats'!H65</f>
        <v>1</v>
      </c>
      <c r="I183" s="44">
        <f>'Week 1 Stats'!I65</f>
        <v>7.1428571428571425E-2</v>
      </c>
      <c r="J183" s="11">
        <f>'Week 1 Stats'!J65</f>
        <v>5</v>
      </c>
      <c r="K183"/>
      <c r="L183"/>
      <c r="M183"/>
      <c r="N183"/>
      <c r="O183"/>
      <c r="P183"/>
      <c r="Q183"/>
      <c r="R183"/>
      <c r="S183"/>
      <c r="T183"/>
      <c r="U183"/>
    </row>
    <row r="184" spans="1:21">
      <c r="A184" s="3">
        <f>'Week 1 Stats'!A66</f>
        <v>41298</v>
      </c>
      <c r="B184" s="10">
        <f>'Week 1 Stats'!B66</f>
        <v>16</v>
      </c>
      <c r="C184" s="44">
        <f>'Week 1 Stats'!C66</f>
        <v>0.22222222222222221</v>
      </c>
      <c r="D184" s="10">
        <f>'Week 1 Stats'!D66</f>
        <v>9</v>
      </c>
      <c r="E184" s="44">
        <f>'Week 1 Stats'!E66</f>
        <v>0.125</v>
      </c>
      <c r="F184" s="10">
        <f>'Week 1 Stats'!F66</f>
        <v>12</v>
      </c>
      <c r="G184" s="44">
        <f>'Week 1 Stats'!G66</f>
        <v>0.16666666666666666</v>
      </c>
      <c r="H184" s="10">
        <f>'Week 1 Stats'!H66</f>
        <v>0</v>
      </c>
      <c r="I184" s="44">
        <f>'Week 1 Stats'!I66</f>
        <v>0</v>
      </c>
      <c r="J184" s="11">
        <f>'Week 1 Stats'!J66</f>
        <v>3</v>
      </c>
    </row>
    <row r="185" spans="1:21" ht="13.5" thickBot="1">
      <c r="A185" s="3">
        <f>'Week 1 Stats'!A67</f>
        <v>41299</v>
      </c>
      <c r="B185" s="10">
        <f>'Week 1 Stats'!B67</f>
        <v>10</v>
      </c>
      <c r="C185" s="44">
        <f>'Week 1 Stats'!C67</f>
        <v>0.18518518518518517</v>
      </c>
      <c r="D185" s="10">
        <f>'Week 1 Stats'!D67</f>
        <v>15</v>
      </c>
      <c r="E185" s="44">
        <f>'Week 1 Stats'!E67</f>
        <v>0.27777777777777779</v>
      </c>
      <c r="F185" s="10">
        <f>'Week 1 Stats'!F67</f>
        <v>8</v>
      </c>
      <c r="G185" s="44">
        <f>'Week 1 Stats'!G67</f>
        <v>0.14814814814814814</v>
      </c>
      <c r="H185" s="10">
        <f>'Week 1 Stats'!H67</f>
        <v>1</v>
      </c>
      <c r="I185" s="44">
        <f>'Week 1 Stats'!I67</f>
        <v>1.8518518518518517E-2</v>
      </c>
      <c r="J185" s="11">
        <f>'Week 1 Stats'!J67</f>
        <v>8</v>
      </c>
    </row>
    <row r="186" spans="1:21" ht="13.5" thickBot="1">
      <c r="A186" s="81" t="e">
        <f>#REF!</f>
        <v>#REF!</v>
      </c>
      <c r="B186" s="73">
        <f>SUM(B181:B185)</f>
        <v>74</v>
      </c>
      <c r="C186" s="76">
        <f>AVERAGE(C181:C185)</f>
        <v>0.41482842025699168</v>
      </c>
      <c r="D186" s="73">
        <f>SUM(D181:D185)</f>
        <v>63</v>
      </c>
      <c r="E186" s="76">
        <f>AVERAGE(E181:E185)</f>
        <v>0.39569841269841266</v>
      </c>
      <c r="F186" s="73">
        <f>SUM(F181:F185)</f>
        <v>54</v>
      </c>
      <c r="G186" s="76">
        <f>AVERAGE(G181:G185)</f>
        <v>0.30320786092214663</v>
      </c>
      <c r="H186" s="73">
        <f>SUM(H181:H185)</f>
        <v>4</v>
      </c>
      <c r="I186" s="76">
        <f>AVERAGE(I181:I185)</f>
        <v>2.6152683295540435E-2</v>
      </c>
      <c r="J186" s="74">
        <f>SUM(J181:J185)</f>
        <v>31</v>
      </c>
    </row>
    <row r="187" spans="1:21">
      <c r="A187" s="3">
        <f>'Week 2 Stats'!A58</f>
        <v>41302</v>
      </c>
      <c r="B187" s="10">
        <f>'Week 2 Stats'!B58</f>
        <v>9</v>
      </c>
      <c r="C187" s="44">
        <f>'Week 2 Stats'!C58</f>
        <v>0.23076923076923078</v>
      </c>
      <c r="D187" s="10">
        <f>'Week 2 Stats'!D58</f>
        <v>11</v>
      </c>
      <c r="E187" s="44">
        <f>'Week 2 Stats'!E58</f>
        <v>0.28205128205128205</v>
      </c>
      <c r="F187" s="10">
        <f>'Week 2 Stats'!F58</f>
        <v>18</v>
      </c>
      <c r="G187" s="44">
        <f>'Week 2 Stats'!G58</f>
        <v>0.46153846153846156</v>
      </c>
      <c r="H187" s="10">
        <f>'Week 2 Stats'!H58</f>
        <v>0</v>
      </c>
      <c r="I187" s="44">
        <f>'Week 2 Stats'!I58</f>
        <v>0</v>
      </c>
      <c r="J187" s="10">
        <f>'Week 2 Stats'!J58</f>
        <v>8</v>
      </c>
    </row>
    <row r="188" spans="1:21">
      <c r="A188" s="3">
        <f>'Week 2 Stats'!A59</f>
        <v>41303</v>
      </c>
      <c r="B188" s="10">
        <f>'Week 2 Stats'!B59</f>
        <v>10</v>
      </c>
      <c r="C188" s="44">
        <f>'Week 2 Stats'!C59</f>
        <v>0.32258064516129031</v>
      </c>
      <c r="D188" s="10">
        <f>'Week 2 Stats'!D59</f>
        <v>17</v>
      </c>
      <c r="E188" s="44">
        <f>'Week 2 Stats'!E59</f>
        <v>0.54838709677419351</v>
      </c>
      <c r="F188" s="10">
        <f>'Week 2 Stats'!F59</f>
        <v>11</v>
      </c>
      <c r="G188" s="44">
        <f>'Week 2 Stats'!G59</f>
        <v>0.35483870967741937</v>
      </c>
      <c r="H188" s="10">
        <f>'Week 2 Stats'!H59</f>
        <v>0</v>
      </c>
      <c r="I188" s="44">
        <f>'Week 2 Stats'!I59</f>
        <v>0</v>
      </c>
      <c r="J188" s="10">
        <f>'Week 2 Stats'!J59</f>
        <v>5</v>
      </c>
    </row>
    <row r="189" spans="1:21">
      <c r="A189" s="3">
        <f>'Week 2 Stats'!A60</f>
        <v>41304</v>
      </c>
      <c r="B189" s="10">
        <f>'Week 2 Stats'!B60</f>
        <v>9</v>
      </c>
      <c r="C189" s="44">
        <f>'Week 2 Stats'!C60</f>
        <v>0.29032258064516131</v>
      </c>
      <c r="D189" s="10">
        <f>'Week 2 Stats'!D60</f>
        <v>11</v>
      </c>
      <c r="E189" s="44">
        <f>'Week 2 Stats'!E60</f>
        <v>0.35483870967741937</v>
      </c>
      <c r="F189" s="10">
        <f>'Week 2 Stats'!F60</f>
        <v>17</v>
      </c>
      <c r="G189" s="44">
        <f>'Week 2 Stats'!G60</f>
        <v>0.54838709677419351</v>
      </c>
      <c r="H189" s="10">
        <f>'Week 2 Stats'!H60</f>
        <v>0</v>
      </c>
      <c r="I189" s="44">
        <f>'Week 2 Stats'!I60</f>
        <v>0</v>
      </c>
      <c r="J189" s="10">
        <f>'Week 2 Stats'!J60</f>
        <v>4</v>
      </c>
    </row>
    <row r="190" spans="1:21">
      <c r="A190" s="3">
        <f>'Week 2 Stats'!A61</f>
        <v>41305</v>
      </c>
      <c r="B190" s="10">
        <f>'Week 2 Stats'!B61</f>
        <v>14</v>
      </c>
      <c r="C190" s="44">
        <f>'Week 2 Stats'!C61</f>
        <v>0.42424242424242425</v>
      </c>
      <c r="D190" s="10">
        <f>'Week 2 Stats'!D61</f>
        <v>11</v>
      </c>
      <c r="E190" s="44">
        <f>'Week 2 Stats'!E61</f>
        <v>0.33333333333333331</v>
      </c>
      <c r="F190" s="10">
        <f>'Week 2 Stats'!F61</f>
        <v>13</v>
      </c>
      <c r="G190" s="44">
        <f>'Week 2 Stats'!G61</f>
        <v>0.39393939393939392</v>
      </c>
      <c r="H190" s="10">
        <f>'Week 2 Stats'!H61</f>
        <v>1</v>
      </c>
      <c r="I190" s="44">
        <f>'Week 2 Stats'!I61</f>
        <v>3.0303030303030304E-2</v>
      </c>
      <c r="J190" s="10">
        <f>'Week 2 Stats'!J61</f>
        <v>6</v>
      </c>
    </row>
    <row r="191" spans="1:21" ht="13.5" thickBot="1">
      <c r="A191" s="3">
        <v>41215</v>
      </c>
      <c r="B191" s="10">
        <f>'Week 2 Stats'!B62</f>
        <v>8</v>
      </c>
      <c r="C191" s="44">
        <f>'Week 2 Stats'!C62</f>
        <v>0.17777777777777778</v>
      </c>
      <c r="D191" s="10">
        <f>'Week 2 Stats'!D62</f>
        <v>25</v>
      </c>
      <c r="E191" s="44">
        <f>'Week 2 Stats'!E62</f>
        <v>0.55555555555555558</v>
      </c>
      <c r="F191" s="10">
        <f>'Week 2 Stats'!F62</f>
        <v>8</v>
      </c>
      <c r="G191" s="44">
        <f>'Week 2 Stats'!G62</f>
        <v>0.17777777777777778</v>
      </c>
      <c r="H191" s="10">
        <f>'Week 2 Stats'!H62</f>
        <v>0</v>
      </c>
      <c r="I191" s="44">
        <f>'Week 2 Stats'!I62</f>
        <v>0</v>
      </c>
      <c r="J191" s="10">
        <f>'Week 2 Stats'!J62</f>
        <v>5</v>
      </c>
    </row>
    <row r="192" spans="1:21" ht="13.5" thickBot="1">
      <c r="A192" s="81" t="str">
        <f>A22</f>
        <v>Week 2 Total</v>
      </c>
      <c r="B192" s="75">
        <f>SUM(B187:B191)</f>
        <v>50</v>
      </c>
      <c r="C192" s="76">
        <f>AVERAGE(C187:C191)</f>
        <v>0.28913853171917692</v>
      </c>
      <c r="D192" s="77">
        <f>SUM(D187:D191)</f>
        <v>75</v>
      </c>
      <c r="E192" s="82">
        <f>AVERAGE(E187:E191)</f>
        <v>0.41483319547835673</v>
      </c>
      <c r="F192" s="77">
        <f>SUM(F187:F191)</f>
        <v>67</v>
      </c>
      <c r="G192" s="82">
        <f>AVERAGE(G187:G191)</f>
        <v>0.38729628794144921</v>
      </c>
      <c r="H192" s="77">
        <f>SUM(H187:H191)</f>
        <v>1</v>
      </c>
      <c r="I192" s="82">
        <f>AVERAGE(I187:I191)</f>
        <v>6.0606060606060606E-3</v>
      </c>
      <c r="J192" s="83">
        <f>SUM(J187:J191)</f>
        <v>28</v>
      </c>
    </row>
    <row r="193" spans="1:10">
      <c r="A193" s="3">
        <f>'Week 3 Stats'!A50</f>
        <v>41309</v>
      </c>
      <c r="B193" s="10">
        <f>'Week 3 Stats'!B50</f>
        <v>48</v>
      </c>
      <c r="C193" s="44">
        <f>'Week 3 Stats'!C50</f>
        <v>0.77419354838709675</v>
      </c>
      <c r="D193" s="10">
        <f>'Week 3 Stats'!D50</f>
        <v>1</v>
      </c>
      <c r="E193" s="44">
        <f>'Week 3 Stats'!E50</f>
        <v>1.6129032258064516E-2</v>
      </c>
      <c r="F193" s="10">
        <f>'Week 3 Stats'!F50</f>
        <v>9</v>
      </c>
      <c r="G193" s="44">
        <f>'Week 3 Stats'!G50</f>
        <v>0.14516129032258066</v>
      </c>
      <c r="H193" s="10">
        <f>'Week 3 Stats'!H50</f>
        <v>0</v>
      </c>
      <c r="I193" s="44">
        <f>'Week 3 Stats'!I50</f>
        <v>0</v>
      </c>
      <c r="J193" s="10">
        <f>'Week 3 Stats'!J50</f>
        <v>11</v>
      </c>
    </row>
    <row r="194" spans="1:10">
      <c r="A194" s="3">
        <f>'Week 3 Stats'!A51</f>
        <v>41310</v>
      </c>
      <c r="B194" s="10">
        <f>'Week 3 Stats'!B51</f>
        <v>11</v>
      </c>
      <c r="C194" s="44">
        <f>'Week 3 Stats'!C51</f>
        <v>0.30555555555555558</v>
      </c>
      <c r="D194" s="10">
        <f>'Week 3 Stats'!D51</f>
        <v>1</v>
      </c>
      <c r="E194" s="44">
        <f>'Week 3 Stats'!E51</f>
        <v>2.7777777777777776E-2</v>
      </c>
      <c r="F194" s="10">
        <f>'Week 3 Stats'!F51</f>
        <v>16</v>
      </c>
      <c r="G194" s="44">
        <f>'Week 3 Stats'!G51</f>
        <v>0.44444444444444442</v>
      </c>
      <c r="H194" s="10">
        <f>'Week 3 Stats'!H51</f>
        <v>0</v>
      </c>
      <c r="I194" s="44">
        <f>'Week 3 Stats'!I51</f>
        <v>0</v>
      </c>
      <c r="J194" s="10">
        <f>'Week 3 Stats'!J51</f>
        <v>6</v>
      </c>
    </row>
    <row r="195" spans="1:10">
      <c r="A195" s="3">
        <f>'Week 3 Stats'!A52</f>
        <v>41311</v>
      </c>
      <c r="B195" s="10">
        <f>'Week 3 Stats'!B52</f>
        <v>14</v>
      </c>
      <c r="C195" s="44">
        <f>'Week 3 Stats'!C52</f>
        <v>0.48275862068965519</v>
      </c>
      <c r="D195" s="10">
        <f>'Week 3 Stats'!D52</f>
        <v>0</v>
      </c>
      <c r="E195" s="44">
        <f>'Week 3 Stats'!E52</f>
        <v>0</v>
      </c>
      <c r="F195" s="10">
        <f>'Week 3 Stats'!F52</f>
        <v>14</v>
      </c>
      <c r="G195" s="44">
        <f>'Week 3 Stats'!G52</f>
        <v>0.48275862068965519</v>
      </c>
      <c r="H195" s="10">
        <f>'Week 3 Stats'!H52</f>
        <v>0</v>
      </c>
      <c r="I195" s="44">
        <f>'Week 3 Stats'!I52</f>
        <v>0</v>
      </c>
      <c r="J195" s="10">
        <f>'Week 3 Stats'!J52</f>
        <v>5</v>
      </c>
    </row>
    <row r="196" spans="1:10">
      <c r="A196" s="3">
        <f>'Week 3 Stats'!A53</f>
        <v>41312</v>
      </c>
      <c r="B196" s="10">
        <f>'Week 3 Stats'!B53</f>
        <v>26</v>
      </c>
      <c r="C196" s="44">
        <f>'Week 3 Stats'!C53</f>
        <v>0.63414634146341464</v>
      </c>
      <c r="D196" s="10">
        <f>'Week 3 Stats'!D53</f>
        <v>1</v>
      </c>
      <c r="E196" s="44">
        <f>'Week 3 Stats'!E53</f>
        <v>2.4390243902439025E-2</v>
      </c>
      <c r="F196" s="10">
        <f>'Week 3 Stats'!F53</f>
        <v>15</v>
      </c>
      <c r="G196" s="44">
        <f>'Week 3 Stats'!G53</f>
        <v>0.36585365853658536</v>
      </c>
      <c r="H196" s="10">
        <f>'Week 3 Stats'!H53</f>
        <v>0</v>
      </c>
      <c r="I196" s="44">
        <f>'Week 3 Stats'!I53</f>
        <v>0</v>
      </c>
      <c r="J196" s="10">
        <f>'Week 3 Stats'!J53</f>
        <v>3</v>
      </c>
    </row>
    <row r="197" spans="1:10" ht="13.5" thickBot="1">
      <c r="A197" s="3">
        <f>'Week 3 Stats'!A54</f>
        <v>41313</v>
      </c>
      <c r="B197" s="10">
        <f>'Week 3 Stats'!B54</f>
        <v>16</v>
      </c>
      <c r="C197" s="44">
        <f>'Week 3 Stats'!C54</f>
        <v>0.42105263157894735</v>
      </c>
      <c r="D197" s="10">
        <f>'Week 3 Stats'!D54</f>
        <v>7</v>
      </c>
      <c r="E197" s="44">
        <f>'Week 3 Stats'!E54</f>
        <v>0.18421052631578946</v>
      </c>
      <c r="F197" s="10">
        <f>'Week 3 Stats'!F54</f>
        <v>14</v>
      </c>
      <c r="G197" s="44">
        <f>'Week 3 Stats'!G54</f>
        <v>0.36842105263157893</v>
      </c>
      <c r="H197" s="10">
        <f>'Week 3 Stats'!H54</f>
        <v>0</v>
      </c>
      <c r="I197" s="44">
        <f>'Week 3 Stats'!I54</f>
        <v>0</v>
      </c>
      <c r="J197" s="10">
        <f>'Week 3 Stats'!J54</f>
        <v>4</v>
      </c>
    </row>
    <row r="198" spans="1:10" ht="13.5" thickBot="1">
      <c r="A198" s="81" t="str">
        <f>A75</f>
        <v>Week 3 Total</v>
      </c>
      <c r="B198" s="75">
        <f>SUM(B193:B197)</f>
        <v>115</v>
      </c>
      <c r="C198" s="76">
        <f>AVERAGE(C193:C197)</f>
        <v>0.52354133953493398</v>
      </c>
      <c r="D198" s="77">
        <f>SUM(D193:D197)</f>
        <v>10</v>
      </c>
      <c r="E198" s="82">
        <f>AVERAGE(E193:E197)</f>
        <v>5.0501516050814155E-2</v>
      </c>
      <c r="F198" s="77">
        <f>SUM(F193:F197)</f>
        <v>68</v>
      </c>
      <c r="G198" s="82">
        <f>AVERAGE(G193:G197)</f>
        <v>0.36132781332496894</v>
      </c>
      <c r="H198" s="77">
        <f>SUM(H193:H197)</f>
        <v>0</v>
      </c>
      <c r="I198" s="82">
        <f>AVERAGE(I193:I197)</f>
        <v>0</v>
      </c>
      <c r="J198" s="83">
        <f>SUM(J193:J197)</f>
        <v>29</v>
      </c>
    </row>
    <row r="199" spans="1:10">
      <c r="A199" s="3">
        <f>'Week 4 Stats'!A61</f>
        <v>41316</v>
      </c>
      <c r="B199" s="10">
        <f>'Week 4 Stats'!B61</f>
        <v>10</v>
      </c>
      <c r="C199" s="44">
        <f>'Week 4 Stats'!C61</f>
        <v>0.27027027027027029</v>
      </c>
      <c r="D199" s="10">
        <f>'Week 4 Stats'!D61</f>
        <v>1</v>
      </c>
      <c r="E199" s="44">
        <f>'Week 4 Stats'!E61</f>
        <v>2.7027027027027029E-2</v>
      </c>
      <c r="F199" s="10">
        <f>'Week 4 Stats'!F61</f>
        <v>19</v>
      </c>
      <c r="G199" s="44">
        <f>'Week 4 Stats'!G61</f>
        <v>0.51351351351351349</v>
      </c>
      <c r="H199" s="10">
        <f>'Week 4 Stats'!H61</f>
        <v>0</v>
      </c>
      <c r="I199" s="44">
        <f>'Week 4 Stats'!I61</f>
        <v>0</v>
      </c>
      <c r="J199" s="10">
        <f>'Week 4 Stats'!J61</f>
        <v>5</v>
      </c>
    </row>
    <row r="200" spans="1:10">
      <c r="A200" s="3">
        <f>'Week 4 Stats'!A62</f>
        <v>41317</v>
      </c>
      <c r="B200" s="10">
        <f>'Week 4 Stats'!B62</f>
        <v>9</v>
      </c>
      <c r="C200" s="44">
        <f>'Week 4 Stats'!C62</f>
        <v>0.32142857142857145</v>
      </c>
      <c r="D200" s="10">
        <f>'Week 4 Stats'!D62</f>
        <v>0</v>
      </c>
      <c r="E200" s="44">
        <f>'Week 4 Stats'!E62</f>
        <v>0</v>
      </c>
      <c r="F200" s="10">
        <f>'Week 4 Stats'!F62</f>
        <v>13</v>
      </c>
      <c r="G200" s="44">
        <f>'Week 4 Stats'!G62</f>
        <v>0.4642857142857143</v>
      </c>
      <c r="H200" s="10">
        <f>'Week 4 Stats'!H62</f>
        <v>0</v>
      </c>
      <c r="I200" s="44">
        <f>'Week 4 Stats'!I62</f>
        <v>0</v>
      </c>
      <c r="J200" s="10">
        <f>'Week 4 Stats'!J62</f>
        <v>1</v>
      </c>
    </row>
    <row r="201" spans="1:10">
      <c r="A201" s="3">
        <f>'Week 4 Stats'!A63</f>
        <v>41318</v>
      </c>
      <c r="B201" s="10">
        <f>'Week 4 Stats'!B63</f>
        <v>7</v>
      </c>
      <c r="C201" s="44">
        <f>'Week 4 Stats'!C63</f>
        <v>0.26923076923076922</v>
      </c>
      <c r="D201" s="10">
        <f>'Week 4 Stats'!D63</f>
        <v>0</v>
      </c>
      <c r="E201" s="44">
        <f>'Week 4 Stats'!E63</f>
        <v>0</v>
      </c>
      <c r="F201" s="10">
        <f>'Week 4 Stats'!F63</f>
        <v>14</v>
      </c>
      <c r="G201" s="44">
        <f>'Week 4 Stats'!G63</f>
        <v>0.53846153846153844</v>
      </c>
      <c r="H201" s="10">
        <f>'Week 4 Stats'!H63</f>
        <v>0</v>
      </c>
      <c r="I201" s="44">
        <f>'Week 4 Stats'!I63</f>
        <v>0</v>
      </c>
      <c r="J201" s="10">
        <f>'Week 4 Stats'!J63</f>
        <v>3</v>
      </c>
    </row>
    <row r="202" spans="1:10">
      <c r="A202" s="3">
        <f>'Week 4 Stats'!A64</f>
        <v>41319</v>
      </c>
      <c r="B202" s="10">
        <f>'Week 4 Stats'!B64</f>
        <v>16</v>
      </c>
      <c r="C202" s="44">
        <f>'Week 4 Stats'!C64</f>
        <v>0.42105263157894735</v>
      </c>
      <c r="D202" s="10">
        <f>'Week 4 Stats'!D64</f>
        <v>0</v>
      </c>
      <c r="E202" s="44">
        <f>'Week 4 Stats'!E64</f>
        <v>0</v>
      </c>
      <c r="F202" s="10">
        <f>'Week 4 Stats'!F64</f>
        <v>20</v>
      </c>
      <c r="G202" s="44">
        <f>'Week 4 Stats'!G64</f>
        <v>0.52631578947368418</v>
      </c>
      <c r="H202" s="10">
        <f>'Week 4 Stats'!H64</f>
        <v>0</v>
      </c>
      <c r="I202" s="44">
        <f>'Week 4 Stats'!I64</f>
        <v>0</v>
      </c>
      <c r="J202" s="10">
        <f>'Week 4 Stats'!J64</f>
        <v>4</v>
      </c>
    </row>
    <row r="203" spans="1:10" ht="13.5" thickBot="1">
      <c r="A203" s="3">
        <f>'Week 4 Stats'!A65</f>
        <v>41320</v>
      </c>
      <c r="B203" s="10">
        <f>'Week 4 Stats'!B65</f>
        <v>7</v>
      </c>
      <c r="C203" s="44">
        <f>'Week 4 Stats'!C65</f>
        <v>0.26923076923076922</v>
      </c>
      <c r="D203" s="10">
        <f>'Week 4 Stats'!D65</f>
        <v>0</v>
      </c>
      <c r="E203" s="44">
        <f>'Week 4 Stats'!E65</f>
        <v>0</v>
      </c>
      <c r="F203" s="10">
        <f>'Week 4 Stats'!F65</f>
        <v>12</v>
      </c>
      <c r="G203" s="44">
        <f>'Week 4 Stats'!G65</f>
        <v>0.46153846153846156</v>
      </c>
      <c r="H203" s="10">
        <f>'Week 4 Stats'!H65</f>
        <v>0</v>
      </c>
      <c r="I203" s="44">
        <f>'Week 4 Stats'!I65</f>
        <v>0</v>
      </c>
      <c r="J203" s="10">
        <f>'Week 4 Stats'!J65</f>
        <v>3</v>
      </c>
    </row>
    <row r="204" spans="1:10" ht="13.5" thickBot="1">
      <c r="A204" s="81" t="str">
        <f>A137</f>
        <v>Week 4 Total</v>
      </c>
      <c r="B204" s="75">
        <f>SUM(B199:B203)</f>
        <v>49</v>
      </c>
      <c r="C204" s="76">
        <f>AVERAGE(C199:C203)</f>
        <v>0.31024260234786549</v>
      </c>
      <c r="D204" s="77">
        <f>SUM(D199:D203)</f>
        <v>1</v>
      </c>
      <c r="E204" s="82">
        <f>AVERAGE(E199:E203)</f>
        <v>5.4054054054054057E-3</v>
      </c>
      <c r="F204" s="77">
        <f>SUM(F199:F203)</f>
        <v>78</v>
      </c>
      <c r="G204" s="82">
        <f>AVERAGE(G199:G203)</f>
        <v>0.50082300345458242</v>
      </c>
      <c r="H204" s="77">
        <f>SUM(H199:H203)</f>
        <v>0</v>
      </c>
      <c r="I204" s="82">
        <f>AVERAGE(I199:I203)</f>
        <v>0</v>
      </c>
      <c r="J204" s="83">
        <f>SUM(J199:J203)</f>
        <v>16</v>
      </c>
    </row>
    <row r="205" spans="1:10">
      <c r="A205" s="3">
        <f>'Week 5 Stats'!A45</f>
        <v>41323</v>
      </c>
      <c r="B205" s="10">
        <f>'Week 5 Stats'!B45</f>
        <v>13</v>
      </c>
      <c r="C205" s="44">
        <f>'Week 5 Stats'!C45</f>
        <v>0.3611111111111111</v>
      </c>
      <c r="D205" s="10">
        <f>'Week 5 Stats'!D45</f>
        <v>1</v>
      </c>
      <c r="E205" s="44">
        <f>'Week 5 Stats'!E45</f>
        <v>2.7777777777777776E-2</v>
      </c>
      <c r="F205" s="10">
        <f>'Week 5 Stats'!F45</f>
        <v>14</v>
      </c>
      <c r="G205" s="44">
        <f>'Week 5 Stats'!G45</f>
        <v>0.3888888888888889</v>
      </c>
      <c r="H205" s="10">
        <f>'Week 5 Stats'!H45</f>
        <v>0</v>
      </c>
      <c r="I205" s="44">
        <f>'Week 5 Stats'!I45</f>
        <v>0</v>
      </c>
      <c r="J205" s="10">
        <f>'Week 5 Stats'!J45</f>
        <v>5</v>
      </c>
    </row>
    <row r="206" spans="1:10" ht="13.5" thickBot="1">
      <c r="A206" s="3">
        <f>'Week 5 Stats'!A47</f>
        <v>41325</v>
      </c>
      <c r="B206" s="10">
        <f>'Week 5 Stats'!B47</f>
        <v>7</v>
      </c>
      <c r="C206" s="44">
        <f>'Week 5 Stats'!C47</f>
        <v>0.25925925925925924</v>
      </c>
      <c r="D206" s="10">
        <f>'Week 5 Stats'!D47</f>
        <v>0</v>
      </c>
      <c r="E206" s="44">
        <f>'Week 5 Stats'!E47</f>
        <v>0</v>
      </c>
      <c r="F206" s="10">
        <f>'Week 5 Stats'!F47</f>
        <v>13</v>
      </c>
      <c r="G206" s="44">
        <f>'Week 5 Stats'!G47</f>
        <v>0.48148148148148145</v>
      </c>
      <c r="H206" s="10">
        <f>'Week 5 Stats'!H47</f>
        <v>0</v>
      </c>
      <c r="I206" s="44">
        <f>'Week 5 Stats'!I47</f>
        <v>0</v>
      </c>
      <c r="J206" s="10">
        <f>'Week 5 Stats'!J47</f>
        <v>2</v>
      </c>
    </row>
    <row r="207" spans="1:10" ht="13.5" thickBot="1">
      <c r="A207" s="81" t="str">
        <f>A45</f>
        <v>Week 5 Total</v>
      </c>
      <c r="B207" s="75">
        <f>SUM(B205:B206)</f>
        <v>20</v>
      </c>
      <c r="C207" s="76">
        <f>AVERAGE(C205:C206)</f>
        <v>0.31018518518518517</v>
      </c>
      <c r="D207" s="77">
        <f>SUM(D205:D206)</f>
        <v>1</v>
      </c>
      <c r="E207" s="82">
        <f>AVERAGE(E205:E206)</f>
        <v>1.3888888888888888E-2</v>
      </c>
      <c r="F207" s="77">
        <f>SUM(F205:F206)</f>
        <v>27</v>
      </c>
      <c r="G207" s="82">
        <f>AVERAGE(G205:G206)</f>
        <v>0.43518518518518517</v>
      </c>
      <c r="H207" s="77">
        <f>SUM(H205:H206)</f>
        <v>0</v>
      </c>
      <c r="I207" s="82">
        <f>AVERAGE(I205:I206)</f>
        <v>0</v>
      </c>
      <c r="J207" s="83">
        <f>SUM(J205:J206)</f>
        <v>7</v>
      </c>
    </row>
    <row r="208" spans="1:10" ht="13.5" thickBot="1">
      <c r="A208" s="78" t="s">
        <v>57</v>
      </c>
      <c r="B208" s="79">
        <f>SUM(B186+B192+B198+B204+B207)</f>
        <v>308</v>
      </c>
      <c r="C208" s="80">
        <f>AVERAGE(C186,C192,C198,C204,C207)</f>
        <v>0.36958721580883064</v>
      </c>
      <c r="D208" s="79">
        <f>SUM(D186+D192+D198+D204+D207)</f>
        <v>150</v>
      </c>
      <c r="E208" s="80">
        <f>AVERAGE(E186,E192,E198,E204,E207)</f>
        <v>0.17606548370437552</v>
      </c>
      <c r="F208" s="79">
        <f>SUM(F186+F192+F198+F204+F207)</f>
        <v>294</v>
      </c>
      <c r="G208" s="80">
        <f>AVERAGE(G186,G192,G198,G204,G207)</f>
        <v>0.39756803016566644</v>
      </c>
      <c r="H208" s="79">
        <f>SUM(H186+H192+H198+H204+H207)</f>
        <v>5</v>
      </c>
      <c r="I208" s="80">
        <f>AVERAGE(I186,I192,I198,I204,I207)</f>
        <v>6.4426578712292988E-3</v>
      </c>
      <c r="J208" s="79">
        <f>SUM(J186+J192+J198+J204+J207)</f>
        <v>111</v>
      </c>
    </row>
    <row r="209" spans="1:2" ht="26.25">
      <c r="A209" s="134"/>
      <c r="B209" s="134"/>
    </row>
    <row r="210" spans="1:2">
      <c r="A210" s="101"/>
      <c r="B210" s="101"/>
    </row>
  </sheetData>
  <mergeCells count="11">
    <mergeCell ref="A1:H1"/>
    <mergeCell ref="A3:H3"/>
    <mergeCell ref="A47:I47"/>
    <mergeCell ref="A49:I49"/>
    <mergeCell ref="A93:E93"/>
    <mergeCell ref="A209:B209"/>
    <mergeCell ref="A95:E95"/>
    <mergeCell ref="A145:U145"/>
    <mergeCell ref="A147:U147"/>
    <mergeCell ref="A177:J177"/>
    <mergeCell ref="A179:J179"/>
  </mergeCells>
  <phoneticPr fontId="1" type="noConversion"/>
  <pageMargins left="0.15748031496062992" right="0.15748031496062992" top="0.39370078740157483" bottom="0.39370078740157483" header="0.51181102362204722" footer="0.51181102362204722"/>
  <pageSetup paperSize="9" scale="43" orientation="portrait" verticalDpi="0" r:id="rId1"/>
  <headerFooter alignWithMargins="0"/>
  <rowBreaks count="5" manualBreakCount="5">
    <brk id="46" max="16383" man="1"/>
    <brk id="92" max="16383" man="1"/>
    <brk id="144" max="16383" man="1"/>
    <brk id="176" max="20" man="1"/>
    <brk id="208" max="16383" man="1"/>
  </rowBreaks>
  <legacyDrawing r:id="rId2"/>
  <tableParts count="5">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dimension ref="A1"/>
  <sheetViews>
    <sheetView topLeftCell="A64" zoomScale="75" zoomScaleNormal="75" workbookViewId="0">
      <selection activeCell="U24" sqref="U24"/>
    </sheetView>
  </sheetViews>
  <sheetFormatPr defaultRowHeight="12.75"/>
  <sheetData/>
  <phoneticPr fontId="1" type="noConversion"/>
  <pageMargins left="0.15748031496062992" right="0.15748031496062992" top="0.39370078740157483" bottom="0.39370078740157483" header="0.51181102362204722" footer="0.51181102362204722"/>
  <pageSetup paperSize="9" orientation="landscape" verticalDpi="0" r:id="rId1"/>
  <headerFooter alignWithMargins="0"/>
  <drawing r:id="rId2"/>
</worksheet>
</file>

<file path=xl/worksheets/sheet13.xml><?xml version="1.0" encoding="utf-8"?>
<worksheet xmlns="http://schemas.openxmlformats.org/spreadsheetml/2006/main" xmlns:r="http://schemas.openxmlformats.org/officeDocument/2006/relationships">
  <dimension ref="A1:P22"/>
  <sheetViews>
    <sheetView tabSelected="1" workbookViewId="0">
      <selection activeCell="D32" sqref="D32"/>
    </sheetView>
  </sheetViews>
  <sheetFormatPr defaultRowHeight="12.75"/>
  <cols>
    <col min="1" max="3" width="14.5703125" customWidth="1"/>
    <col min="4" max="6" width="16.7109375" customWidth="1"/>
    <col min="7" max="7" width="17" customWidth="1"/>
    <col min="13" max="13" width="13.85546875" bestFit="1" customWidth="1"/>
    <col min="14" max="14" width="35.5703125" bestFit="1" customWidth="1"/>
    <col min="15" max="15" width="79" bestFit="1" customWidth="1"/>
    <col min="16" max="16" width="31.28515625" bestFit="1" customWidth="1"/>
  </cols>
  <sheetData>
    <row r="1" spans="1:16" ht="63.75">
      <c r="A1" s="155" t="s">
        <v>1</v>
      </c>
      <c r="B1" s="155" t="s">
        <v>65</v>
      </c>
      <c r="C1" s="155" t="s">
        <v>67</v>
      </c>
      <c r="D1" s="155" t="s">
        <v>40</v>
      </c>
      <c r="E1" s="155" t="s">
        <v>42</v>
      </c>
      <c r="F1" s="155" t="s">
        <v>41</v>
      </c>
      <c r="G1" s="155" t="s">
        <v>68</v>
      </c>
    </row>
    <row r="2" spans="1:16">
      <c r="A2" s="154" t="s">
        <v>13</v>
      </c>
      <c r="B2" s="154">
        <v>4565</v>
      </c>
      <c r="C2" s="157">
        <f>(B2*10/100)</f>
        <v>456.5</v>
      </c>
      <c r="D2" s="154">
        <v>117</v>
      </c>
      <c r="E2" s="154">
        <v>24</v>
      </c>
      <c r="F2" s="154">
        <v>3</v>
      </c>
      <c r="G2" s="157">
        <f>D2/C2*100</f>
        <v>25.629791894852133</v>
      </c>
    </row>
    <row r="3" spans="1:16">
      <c r="A3" s="154" t="s">
        <v>17</v>
      </c>
      <c r="B3" s="154">
        <v>3181</v>
      </c>
      <c r="C3" s="157">
        <f t="shared" ref="C3:C17" si="0">(B3*10/100)</f>
        <v>318.10000000000002</v>
      </c>
      <c r="D3" s="154">
        <v>190</v>
      </c>
      <c r="E3" s="154">
        <v>21</v>
      </c>
      <c r="F3" s="154">
        <v>3</v>
      </c>
      <c r="G3" s="157">
        <f t="shared" ref="G3:G18" si="1">D3/C3*100</f>
        <v>59.72964476579692</v>
      </c>
      <c r="N3" s="150" t="s">
        <v>62</v>
      </c>
    </row>
    <row r="4" spans="1:16">
      <c r="A4" s="154" t="s">
        <v>69</v>
      </c>
      <c r="B4" s="154">
        <v>6998</v>
      </c>
      <c r="C4" s="157">
        <f t="shared" si="0"/>
        <v>699.8</v>
      </c>
      <c r="D4" s="154">
        <v>93</v>
      </c>
      <c r="E4" s="154">
        <v>23</v>
      </c>
      <c r="F4" s="154">
        <v>5</v>
      </c>
      <c r="G4" s="157">
        <f t="shared" si="1"/>
        <v>13.289511288939698</v>
      </c>
      <c r="M4" s="150" t="s">
        <v>59</v>
      </c>
      <c r="N4" t="s">
        <v>61</v>
      </c>
      <c r="O4" t="s">
        <v>63</v>
      </c>
      <c r="P4" t="s">
        <v>64</v>
      </c>
    </row>
    <row r="5" spans="1:16">
      <c r="A5" s="154" t="s">
        <v>18</v>
      </c>
      <c r="B5" s="154">
        <v>3746</v>
      </c>
      <c r="C5" s="157">
        <f t="shared" si="0"/>
        <v>374.6</v>
      </c>
      <c r="D5" s="154">
        <v>97</v>
      </c>
      <c r="E5" s="154">
        <v>17</v>
      </c>
      <c r="F5" s="154">
        <v>4</v>
      </c>
      <c r="G5" s="157">
        <f t="shared" ref="G5:G17" si="2">D5/C5*100</f>
        <v>25.89428723972237</v>
      </c>
      <c r="M5" s="151" t="s">
        <v>13</v>
      </c>
      <c r="N5" s="152">
        <v>117</v>
      </c>
      <c r="O5" s="152">
        <v>24</v>
      </c>
      <c r="P5" s="152">
        <v>3</v>
      </c>
    </row>
    <row r="6" spans="1:16">
      <c r="A6" s="154" t="s">
        <v>6</v>
      </c>
      <c r="B6" s="154">
        <v>4803</v>
      </c>
      <c r="C6" s="157">
        <f t="shared" si="0"/>
        <v>480.3</v>
      </c>
      <c r="D6" s="154">
        <v>84</v>
      </c>
      <c r="E6" s="154">
        <v>14</v>
      </c>
      <c r="F6" s="154">
        <v>2</v>
      </c>
      <c r="G6" s="157">
        <f t="shared" si="2"/>
        <v>17.489069331667707</v>
      </c>
      <c r="M6" s="151" t="s">
        <v>17</v>
      </c>
      <c r="N6" s="152">
        <v>190</v>
      </c>
      <c r="O6" s="152">
        <v>21</v>
      </c>
      <c r="P6" s="152">
        <v>3</v>
      </c>
    </row>
    <row r="7" spans="1:16">
      <c r="A7" s="156" t="s">
        <v>19</v>
      </c>
      <c r="B7" s="156">
        <v>1046</v>
      </c>
      <c r="C7" s="158">
        <f t="shared" si="0"/>
        <v>104.6</v>
      </c>
      <c r="D7" s="156">
        <v>3</v>
      </c>
      <c r="E7" s="156">
        <v>3</v>
      </c>
      <c r="F7" s="156">
        <v>2</v>
      </c>
      <c r="G7" s="158">
        <f t="shared" si="2"/>
        <v>2.8680688336520079</v>
      </c>
      <c r="M7" s="151" t="s">
        <v>7</v>
      </c>
      <c r="N7" s="152">
        <v>61</v>
      </c>
      <c r="O7" s="152">
        <v>11</v>
      </c>
      <c r="P7" s="152">
        <v>2</v>
      </c>
    </row>
    <row r="8" spans="1:16">
      <c r="A8" s="156" t="s">
        <v>20</v>
      </c>
      <c r="B8" s="156">
        <v>427</v>
      </c>
      <c r="C8" s="158">
        <f t="shared" si="0"/>
        <v>42.7</v>
      </c>
      <c r="D8" s="156">
        <v>1</v>
      </c>
      <c r="E8" s="156">
        <v>0</v>
      </c>
      <c r="F8" s="156">
        <v>2</v>
      </c>
      <c r="G8" s="158">
        <f t="shared" si="2"/>
        <v>2.3419203747072599</v>
      </c>
      <c r="M8" s="151" t="s">
        <v>11</v>
      </c>
      <c r="N8" s="152">
        <v>32</v>
      </c>
      <c r="O8" s="152">
        <v>12</v>
      </c>
      <c r="P8" s="152">
        <v>3</v>
      </c>
    </row>
    <row r="9" spans="1:16">
      <c r="A9" s="156" t="s">
        <v>14</v>
      </c>
      <c r="B9" s="156">
        <v>689</v>
      </c>
      <c r="C9" s="158">
        <f t="shared" si="0"/>
        <v>68.900000000000006</v>
      </c>
      <c r="D9" s="156">
        <v>6</v>
      </c>
      <c r="E9" s="156">
        <v>1</v>
      </c>
      <c r="F9" s="156">
        <v>3</v>
      </c>
      <c r="G9" s="158">
        <f t="shared" si="2"/>
        <v>8.7082728592162546</v>
      </c>
      <c r="M9" s="151" t="s">
        <v>18</v>
      </c>
      <c r="N9" s="152">
        <v>97</v>
      </c>
      <c r="O9" s="152">
        <v>17</v>
      </c>
      <c r="P9" s="152">
        <v>4</v>
      </c>
    </row>
    <row r="10" spans="1:16">
      <c r="A10" s="156" t="s">
        <v>21</v>
      </c>
      <c r="B10" s="156">
        <v>2677</v>
      </c>
      <c r="C10" s="158">
        <f t="shared" si="0"/>
        <v>267.7</v>
      </c>
      <c r="D10" s="156">
        <v>11</v>
      </c>
      <c r="E10" s="156">
        <v>6</v>
      </c>
      <c r="F10" s="156">
        <v>1</v>
      </c>
      <c r="G10" s="158">
        <f t="shared" si="2"/>
        <v>4.1090773253642139</v>
      </c>
      <c r="M10" s="151" t="s">
        <v>6</v>
      </c>
      <c r="N10" s="152">
        <v>84</v>
      </c>
      <c r="O10" s="152">
        <v>14</v>
      </c>
      <c r="P10" s="152">
        <v>2</v>
      </c>
    </row>
    <row r="11" spans="1:16">
      <c r="A11" s="154" t="s">
        <v>15</v>
      </c>
      <c r="B11" s="154">
        <v>1755</v>
      </c>
      <c r="C11" s="157">
        <f t="shared" si="0"/>
        <v>175.5</v>
      </c>
      <c r="D11" s="154">
        <v>46</v>
      </c>
      <c r="E11" s="154">
        <v>15</v>
      </c>
      <c r="F11" s="154">
        <v>3</v>
      </c>
      <c r="G11" s="157">
        <f t="shared" si="2"/>
        <v>26.210826210826209</v>
      </c>
      <c r="M11" s="151" t="s">
        <v>19</v>
      </c>
      <c r="N11" s="152">
        <v>3</v>
      </c>
      <c r="O11" s="152">
        <v>3</v>
      </c>
      <c r="P11" s="152">
        <v>2</v>
      </c>
    </row>
    <row r="12" spans="1:16">
      <c r="A12" s="154" t="s">
        <v>9</v>
      </c>
      <c r="B12" s="154">
        <v>1195</v>
      </c>
      <c r="C12" s="157">
        <f t="shared" si="0"/>
        <v>119.5</v>
      </c>
      <c r="D12" s="154">
        <v>13</v>
      </c>
      <c r="E12" s="154">
        <v>5</v>
      </c>
      <c r="F12" s="154">
        <v>1</v>
      </c>
      <c r="G12" s="157">
        <f t="shared" si="2"/>
        <v>10.87866108786611</v>
      </c>
      <c r="M12" s="151" t="s">
        <v>20</v>
      </c>
      <c r="N12" s="152">
        <v>1</v>
      </c>
      <c r="O12" s="152">
        <v>0</v>
      </c>
      <c r="P12" s="152">
        <v>2</v>
      </c>
    </row>
    <row r="13" spans="1:16">
      <c r="A13" s="154" t="s">
        <v>10</v>
      </c>
      <c r="B13" s="154">
        <v>1419</v>
      </c>
      <c r="C13" s="157">
        <f t="shared" si="0"/>
        <v>141.9</v>
      </c>
      <c r="D13" s="154">
        <v>39</v>
      </c>
      <c r="E13" s="154">
        <v>9</v>
      </c>
      <c r="F13" s="154">
        <v>3</v>
      </c>
      <c r="G13" s="157">
        <f t="shared" si="2"/>
        <v>27.484143763213531</v>
      </c>
      <c r="M13" s="151" t="s">
        <v>14</v>
      </c>
      <c r="N13" s="152">
        <v>6</v>
      </c>
      <c r="O13" s="152">
        <v>1</v>
      </c>
      <c r="P13" s="152">
        <v>3</v>
      </c>
    </row>
    <row r="14" spans="1:16">
      <c r="A14" s="154" t="s">
        <v>5</v>
      </c>
      <c r="B14" s="154">
        <v>1244</v>
      </c>
      <c r="C14" s="157">
        <f t="shared" si="0"/>
        <v>124.4</v>
      </c>
      <c r="D14" s="154">
        <v>38</v>
      </c>
      <c r="E14" s="154">
        <v>5</v>
      </c>
      <c r="F14" s="154">
        <v>1</v>
      </c>
      <c r="G14" s="157">
        <f t="shared" si="2"/>
        <v>30.54662379421222</v>
      </c>
      <c r="M14" s="151" t="s">
        <v>21</v>
      </c>
      <c r="N14" s="152">
        <v>11</v>
      </c>
      <c r="O14" s="152">
        <v>6</v>
      </c>
      <c r="P14" s="152">
        <v>1</v>
      </c>
    </row>
    <row r="15" spans="1:16">
      <c r="A15" s="154" t="s">
        <v>4</v>
      </c>
      <c r="B15" s="154">
        <v>2126</v>
      </c>
      <c r="C15" s="157">
        <f t="shared" si="0"/>
        <v>212.6</v>
      </c>
      <c r="D15" s="154">
        <v>52</v>
      </c>
      <c r="E15" s="154">
        <v>14</v>
      </c>
      <c r="F15" s="154">
        <v>3</v>
      </c>
      <c r="G15" s="157">
        <f t="shared" si="2"/>
        <v>24.459078080903105</v>
      </c>
      <c r="M15" s="151" t="s">
        <v>15</v>
      </c>
      <c r="N15" s="152">
        <v>46</v>
      </c>
      <c r="O15" s="152">
        <v>15</v>
      </c>
      <c r="P15" s="152">
        <v>3</v>
      </c>
    </row>
    <row r="16" spans="1:16">
      <c r="A16" s="154" t="s">
        <v>66</v>
      </c>
      <c r="B16" s="154">
        <v>759</v>
      </c>
      <c r="C16" s="157">
        <f t="shared" si="0"/>
        <v>75.900000000000006</v>
      </c>
      <c r="D16" s="154">
        <v>20</v>
      </c>
      <c r="E16" s="154">
        <v>6</v>
      </c>
      <c r="F16" s="154">
        <v>3</v>
      </c>
      <c r="G16" s="157">
        <f t="shared" si="2"/>
        <v>26.350461133069825</v>
      </c>
      <c r="M16" s="151" t="s">
        <v>9</v>
      </c>
      <c r="N16" s="152">
        <v>13</v>
      </c>
      <c r="O16" s="152">
        <v>5</v>
      </c>
      <c r="P16" s="152">
        <v>1</v>
      </c>
    </row>
    <row r="17" spans="1:16" ht="13.5" thickBot="1">
      <c r="A17" s="153" t="s">
        <v>60</v>
      </c>
      <c r="B17" s="159">
        <f>SUM(B2:B16)</f>
        <v>36630</v>
      </c>
      <c r="C17" s="159">
        <f t="shared" ref="C17:F17" si="3">SUM(C2:C16)</f>
        <v>3663</v>
      </c>
      <c r="D17" s="159">
        <f t="shared" si="3"/>
        <v>810</v>
      </c>
      <c r="E17" s="159">
        <f t="shared" si="3"/>
        <v>163</v>
      </c>
      <c r="F17" s="159">
        <f t="shared" si="3"/>
        <v>39</v>
      </c>
      <c r="G17" s="159">
        <f>D17/C17*100</f>
        <v>22.113022113022112</v>
      </c>
      <c r="M17" s="151" t="s">
        <v>10</v>
      </c>
      <c r="N17" s="152">
        <v>39</v>
      </c>
      <c r="O17" s="152">
        <v>9</v>
      </c>
      <c r="P17" s="152">
        <v>3</v>
      </c>
    </row>
    <row r="18" spans="1:16" ht="13.5" thickTop="1">
      <c r="M18" s="151" t="s">
        <v>5</v>
      </c>
      <c r="N18" s="152">
        <v>38</v>
      </c>
      <c r="O18" s="152">
        <v>5</v>
      </c>
      <c r="P18" s="152">
        <v>1</v>
      </c>
    </row>
    <row r="19" spans="1:16">
      <c r="M19" s="151" t="s">
        <v>4</v>
      </c>
      <c r="N19" s="152">
        <v>52</v>
      </c>
      <c r="O19" s="152">
        <v>14</v>
      </c>
      <c r="P19" s="152">
        <v>3</v>
      </c>
    </row>
    <row r="20" spans="1:16">
      <c r="M20" s="151" t="s">
        <v>22</v>
      </c>
      <c r="N20" s="152">
        <v>20</v>
      </c>
      <c r="O20" s="152">
        <v>6</v>
      </c>
      <c r="P20" s="152">
        <v>3</v>
      </c>
    </row>
    <row r="21" spans="1:16">
      <c r="M21" s="151" t="s">
        <v>43</v>
      </c>
      <c r="N21" s="152">
        <v>51</v>
      </c>
      <c r="O21" s="152">
        <v>10</v>
      </c>
      <c r="P21" s="152">
        <v>2</v>
      </c>
    </row>
    <row r="22" spans="1:16">
      <c r="M22" s="151" t="s">
        <v>60</v>
      </c>
      <c r="N22" s="152">
        <v>861</v>
      </c>
      <c r="O22" s="152">
        <v>173</v>
      </c>
      <c r="P22" s="152">
        <v>41</v>
      </c>
    </row>
  </sheetData>
  <autoFilter ref="A1:P43">
    <filterColumn colId="1"/>
    <filterColumn colId="2"/>
  </autoFilter>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dimension ref="A1"/>
  <sheetViews>
    <sheetView zoomScale="75" workbookViewId="0">
      <selection activeCell="W21" sqref="W21"/>
    </sheetView>
  </sheetViews>
  <sheetFormatPr defaultRowHeight="12.75"/>
  <sheetData/>
  <phoneticPr fontId="1" type="noConversion"/>
  <pageMargins left="0.15748031496062992" right="0.15748031496062992" top="0.39370078740157483" bottom="0.39370078740157483" header="0.51181102362204722" footer="0.51181102362204722"/>
  <pageSetup paperSize="9" orientation="landscape" verticalDpi="0" r:id="rId1"/>
  <headerFooter alignWithMargins="0"/>
  <drawing r:id="rId2"/>
</worksheet>
</file>

<file path=xl/worksheets/sheet3.xml><?xml version="1.0" encoding="utf-8"?>
<worksheet xmlns="http://schemas.openxmlformats.org/spreadsheetml/2006/main" xmlns:r="http://schemas.openxmlformats.org/officeDocument/2006/relationships">
  <dimension ref="A1:U65"/>
  <sheetViews>
    <sheetView topLeftCell="A47" zoomScaleNormal="100" workbookViewId="0">
      <selection activeCell="J62" sqref="J62"/>
    </sheetView>
  </sheetViews>
  <sheetFormatPr defaultRowHeight="12.75"/>
  <cols>
    <col min="1" max="1" width="15.7109375" customWidth="1"/>
    <col min="2" max="10" width="13.7109375" customWidth="1"/>
    <col min="11" max="21" width="8.85546875" customWidth="1"/>
  </cols>
  <sheetData>
    <row r="1" spans="1:10" ht="26.25">
      <c r="A1" s="143">
        <v>41308</v>
      </c>
      <c r="B1" s="143"/>
      <c r="C1" s="143"/>
      <c r="D1" s="143"/>
      <c r="E1" s="143"/>
      <c r="F1" s="143"/>
      <c r="G1" s="143"/>
      <c r="H1" s="143"/>
    </row>
    <row r="2" spans="1:10" ht="13.5" thickBot="1"/>
    <row r="3" spans="1:10" ht="21" thickBot="1">
      <c r="A3" s="147" t="s">
        <v>2</v>
      </c>
      <c r="B3" s="148"/>
      <c r="C3" s="148"/>
      <c r="D3" s="148"/>
      <c r="E3" s="148"/>
      <c r="F3" s="148"/>
      <c r="G3" s="148"/>
      <c r="H3" s="149"/>
    </row>
    <row r="4" spans="1:10" s="1" customFormat="1" ht="80.25" customHeight="1" thickBot="1">
      <c r="A4" s="40" t="s">
        <v>0</v>
      </c>
      <c r="B4" s="41" t="s">
        <v>1</v>
      </c>
      <c r="C4" s="41" t="s">
        <v>26</v>
      </c>
      <c r="D4" s="41" t="s">
        <v>27</v>
      </c>
      <c r="E4" s="41" t="s">
        <v>28</v>
      </c>
      <c r="F4" s="41" t="s">
        <v>29</v>
      </c>
      <c r="G4" s="41" t="s">
        <v>30</v>
      </c>
      <c r="H4" s="42" t="s">
        <v>31</v>
      </c>
    </row>
    <row r="5" spans="1:10">
      <c r="A5" s="100">
        <v>41302</v>
      </c>
      <c r="B5" s="120" t="s">
        <v>19</v>
      </c>
      <c r="C5" s="10">
        <v>27</v>
      </c>
      <c r="D5" s="10">
        <v>17</v>
      </c>
      <c r="E5" s="10">
        <v>2</v>
      </c>
      <c r="F5" s="44">
        <f>Table3128[[#This Row],[Quantity Fitted at Shaft/Area]]/Table3128[[#This Row],[Quantity Paraded]]</f>
        <v>0.11764705882352941</v>
      </c>
      <c r="G5" s="10">
        <v>8</v>
      </c>
      <c r="H5" s="12">
        <f>Table3128[[#This Row],[Quantity Fitted at Shaft/Area]]+Table3128[[#This Row],[Quantity Fitted at NC Office]]</f>
        <v>10</v>
      </c>
    </row>
    <row r="6" spans="1:10">
      <c r="A6" s="100">
        <v>41302</v>
      </c>
      <c r="B6" s="121" t="s">
        <v>20</v>
      </c>
      <c r="C6" s="9">
        <v>33</v>
      </c>
      <c r="D6" s="9">
        <v>18</v>
      </c>
      <c r="E6" s="9">
        <v>3</v>
      </c>
      <c r="F6" s="44">
        <f>Table3128[[#This Row],[Quantity Fitted at Shaft/Area]]/Table3128[[#This Row],[Quantity Paraded]]</f>
        <v>0.16666666666666666</v>
      </c>
      <c r="G6" s="9"/>
      <c r="H6" s="14">
        <f>Table3128[[#This Row],[Quantity Fitted at Shaft/Area]]+Table3128[[#This Row],[Quantity Fitted at NC Office]]</f>
        <v>3</v>
      </c>
    </row>
    <row r="7" spans="1:10">
      <c r="A7" s="100">
        <v>41303</v>
      </c>
      <c r="B7" s="53" t="s">
        <v>11</v>
      </c>
      <c r="C7" s="53">
        <v>27</v>
      </c>
      <c r="D7" s="53">
        <v>15</v>
      </c>
      <c r="E7" s="53">
        <v>6</v>
      </c>
      <c r="F7" s="54">
        <f>Table3128[[#This Row],[Quantity Fitted at Shaft/Area]]/Table3128[[#This Row],[Quantity Paraded]]</f>
        <v>0.4</v>
      </c>
      <c r="G7" s="53">
        <v>12</v>
      </c>
      <c r="H7" s="14">
        <f>Table3128[[#This Row],[Quantity Fitted at Shaft/Area]]+Table3128[[#This Row],[Quantity Fitted at NC Office]]</f>
        <v>18</v>
      </c>
      <c r="I7" s="124" t="s">
        <v>58</v>
      </c>
      <c r="J7" s="124"/>
    </row>
    <row r="8" spans="1:10">
      <c r="A8" s="100">
        <v>41303</v>
      </c>
      <c r="B8" s="121" t="s">
        <v>7</v>
      </c>
      <c r="C8" s="9">
        <v>56</v>
      </c>
      <c r="D8" s="9">
        <v>40</v>
      </c>
      <c r="E8" s="9">
        <v>3</v>
      </c>
      <c r="F8" s="44">
        <f>Table3128[[#This Row],[Quantity Fitted at Shaft/Area]]/Table3128[[#This Row],[Quantity Paraded]]</f>
        <v>7.4999999999999997E-2</v>
      </c>
      <c r="G8" s="9"/>
      <c r="H8" s="14">
        <f>Table3128[[#This Row],[Quantity Fitted at Shaft/Area]]+Table3128[[#This Row],[Quantity Fitted at NC Office]]</f>
        <v>3</v>
      </c>
      <c r="I8" s="124" t="s">
        <v>58</v>
      </c>
      <c r="J8" s="124"/>
    </row>
    <row r="9" spans="1:10">
      <c r="A9" s="100">
        <v>41304</v>
      </c>
      <c r="B9" s="121" t="s">
        <v>9</v>
      </c>
      <c r="C9" s="9">
        <v>86</v>
      </c>
      <c r="D9" s="9">
        <v>74</v>
      </c>
      <c r="E9" s="9">
        <v>38</v>
      </c>
      <c r="F9" s="44">
        <f>Table3128[[#This Row],[Quantity Fitted at Shaft/Area]]/Table3128[[#This Row],[Quantity Paraded]]</f>
        <v>0.51351351351351349</v>
      </c>
      <c r="G9" s="9">
        <v>2</v>
      </c>
      <c r="H9" s="14">
        <f>Table3128[[#This Row],[Quantity Fitted at Shaft/Area]]+Table3128[[#This Row],[Quantity Fitted at NC Office]]</f>
        <v>40</v>
      </c>
    </row>
    <row r="10" spans="1:10">
      <c r="A10" s="100">
        <v>41305</v>
      </c>
      <c r="B10" s="127" t="s">
        <v>11</v>
      </c>
      <c r="C10" s="53">
        <v>24</v>
      </c>
      <c r="D10" s="53">
        <v>16</v>
      </c>
      <c r="E10" s="53">
        <v>9</v>
      </c>
      <c r="F10" s="54">
        <f>Table3128[[#This Row],[Quantity Fitted at Shaft/Area]]/Table3128[[#This Row],[Quantity Paraded]]</f>
        <v>0.5625</v>
      </c>
      <c r="G10" s="53">
        <v>5</v>
      </c>
      <c r="H10" s="14">
        <f>Table3128[[#This Row],[Quantity Fitted at Shaft/Area]]+Table3128[[#This Row],[Quantity Fitted at NC Office]]</f>
        <v>14</v>
      </c>
    </row>
    <row r="11" spans="1:10" ht="13.5" thickBot="1">
      <c r="A11" s="100">
        <v>41306</v>
      </c>
      <c r="B11" s="126" t="s">
        <v>18</v>
      </c>
      <c r="C11" s="50">
        <v>108</v>
      </c>
      <c r="D11" s="50">
        <v>79</v>
      </c>
      <c r="E11" s="50">
        <v>56</v>
      </c>
      <c r="F11" s="48">
        <f>Table3128[[#This Row],[Quantity Fitted at Shaft/Area]]/Table3128[[#This Row],[Quantity Paraded]]</f>
        <v>0.70886075949367089</v>
      </c>
      <c r="G11" s="50">
        <v>14</v>
      </c>
      <c r="H11" s="14">
        <f>Table3128[[#This Row],[Quantity Fitted at Shaft/Area]]+Table3128[[#This Row],[Quantity Fitted at NC Office]]</f>
        <v>70</v>
      </c>
    </row>
    <row r="12" spans="1:10" s="92" customFormat="1" ht="13.5" thickBot="1">
      <c r="A12" s="88" t="s">
        <v>53</v>
      </c>
      <c r="B12" s="89"/>
      <c r="C12" s="89">
        <f>SUM(C5:C11)</f>
        <v>361</v>
      </c>
      <c r="D12" s="89">
        <f>SUM(D5:D11)</f>
        <v>259</v>
      </c>
      <c r="E12" s="89">
        <f>SUM(E5:E11)</f>
        <v>117</v>
      </c>
      <c r="F12" s="91">
        <f>AVERAGE(F5:F11)</f>
        <v>0.36345542835676869</v>
      </c>
      <c r="G12" s="89">
        <f>SUM(G5:G11)</f>
        <v>41</v>
      </c>
      <c r="H12" s="89">
        <f>SUM(H5:H11)</f>
        <v>158</v>
      </c>
    </row>
    <row r="14" spans="1:10" ht="26.25">
      <c r="A14" s="142">
        <f>A1</f>
        <v>41308</v>
      </c>
      <c r="B14" s="142"/>
      <c r="C14" s="142"/>
      <c r="D14" s="142"/>
      <c r="E14" s="142"/>
      <c r="F14" s="142"/>
      <c r="G14" s="142"/>
      <c r="H14" s="142"/>
      <c r="I14" s="142"/>
    </row>
    <row r="15" spans="1:10" ht="13.5" thickBot="1"/>
    <row r="16" spans="1:10" ht="21" thickBot="1">
      <c r="A16" s="139" t="s">
        <v>39</v>
      </c>
      <c r="B16" s="140"/>
      <c r="C16" s="140"/>
      <c r="D16" s="140"/>
      <c r="E16" s="140"/>
      <c r="F16" s="140"/>
      <c r="G16" s="140"/>
      <c r="H16" s="140"/>
      <c r="I16" s="141"/>
    </row>
    <row r="17" spans="1:9" s="26" customFormat="1" ht="80.25" customHeight="1" thickBot="1">
      <c r="A17" s="40" t="s">
        <v>0</v>
      </c>
      <c r="B17" s="41" t="s">
        <v>1</v>
      </c>
      <c r="C17" s="41" t="s">
        <v>33</v>
      </c>
      <c r="D17" s="41" t="s">
        <v>34</v>
      </c>
      <c r="E17" s="41" t="s">
        <v>35</v>
      </c>
      <c r="F17" s="41" t="s">
        <v>36</v>
      </c>
      <c r="G17" s="41" t="s">
        <v>37</v>
      </c>
      <c r="H17" s="41" t="s">
        <v>38</v>
      </c>
      <c r="I17" s="42" t="s">
        <v>23</v>
      </c>
    </row>
    <row r="18" spans="1:9" s="4" customFormat="1">
      <c r="A18" s="37">
        <f t="shared" ref="A18:A25" si="0">A5</f>
        <v>41302</v>
      </c>
      <c r="B18" s="122" t="s">
        <v>19</v>
      </c>
      <c r="C18" s="38">
        <v>0</v>
      </c>
      <c r="D18" s="38">
        <v>8</v>
      </c>
      <c r="E18" s="38">
        <v>1</v>
      </c>
      <c r="F18" s="38">
        <v>0</v>
      </c>
      <c r="G18" s="38">
        <v>0</v>
      </c>
      <c r="H18" s="38">
        <v>1</v>
      </c>
      <c r="I18" s="23">
        <f>Table7129[[#This Row],[Leave]]+Table7129[[#This Row],[Discharged]]+Table7129[[#This Row],[Transferred to other Shaft / Area]]+Table7129[[#This Row],[Sick Leave]]+Table7129[[#This Row],[Training]]+Table7129[[#This Row],[Other]]</f>
        <v>10</v>
      </c>
    </row>
    <row r="19" spans="1:9" s="4" customFormat="1">
      <c r="A19" s="16">
        <f t="shared" si="0"/>
        <v>41302</v>
      </c>
      <c r="B19" s="123" t="s">
        <v>20</v>
      </c>
      <c r="C19" s="22">
        <v>0</v>
      </c>
      <c r="D19" s="22">
        <v>4</v>
      </c>
      <c r="E19" s="22">
        <v>0</v>
      </c>
      <c r="F19" s="22">
        <v>0</v>
      </c>
      <c r="G19" s="22">
        <v>11</v>
      </c>
      <c r="H19" s="22">
        <v>0</v>
      </c>
      <c r="I19" s="23">
        <f>Table7129[[#This Row],[Leave]]+Table7129[[#This Row],[Discharged]]+Table7129[[#This Row],[Transferred to other Shaft / Area]]+Table7129[[#This Row],[Sick Leave]]+Table7129[[#This Row],[Training]]+Table7129[[#This Row],[Other]]</f>
        <v>15</v>
      </c>
    </row>
    <row r="20" spans="1:9" s="4" customFormat="1">
      <c r="A20" s="55">
        <f t="shared" si="0"/>
        <v>41303</v>
      </c>
      <c r="B20" s="56" t="s">
        <v>11</v>
      </c>
      <c r="C20" s="56">
        <v>0</v>
      </c>
      <c r="D20" s="56">
        <v>8</v>
      </c>
      <c r="E20" s="56">
        <v>0</v>
      </c>
      <c r="F20" s="56">
        <v>0</v>
      </c>
      <c r="G20" s="56">
        <v>4</v>
      </c>
      <c r="H20" s="56">
        <v>0</v>
      </c>
      <c r="I20" s="23">
        <f>Table7129[[#This Row],[Leave]]+Table7129[[#This Row],[Discharged]]+Table7129[[#This Row],[Transferred to other Shaft / Area]]+Table7129[[#This Row],[Sick Leave]]+Table7129[[#This Row],[Training]]+Table7129[[#This Row],[Other]]</f>
        <v>12</v>
      </c>
    </row>
    <row r="21" spans="1:9" s="4" customFormat="1">
      <c r="A21" s="16">
        <f t="shared" si="0"/>
        <v>41303</v>
      </c>
      <c r="B21" s="123" t="s">
        <v>7</v>
      </c>
      <c r="C21" s="22">
        <v>1</v>
      </c>
      <c r="D21" s="22">
        <v>8</v>
      </c>
      <c r="E21" s="22">
        <v>2</v>
      </c>
      <c r="F21" s="22">
        <v>0</v>
      </c>
      <c r="G21" s="22">
        <v>6</v>
      </c>
      <c r="H21" s="22">
        <v>0</v>
      </c>
      <c r="I21" s="23">
        <f>Table7129[[#This Row],[Leave]]+Table7129[[#This Row],[Discharged]]+Table7129[[#This Row],[Transferred to other Shaft / Area]]+Table7129[[#This Row],[Sick Leave]]+Table7129[[#This Row],[Training]]+Table7129[[#This Row],[Other]]</f>
        <v>17</v>
      </c>
    </row>
    <row r="22" spans="1:9" s="4" customFormat="1">
      <c r="A22" s="16">
        <f t="shared" si="0"/>
        <v>41304</v>
      </c>
      <c r="B22" s="123" t="s">
        <v>9</v>
      </c>
      <c r="C22" s="22">
        <v>0</v>
      </c>
      <c r="D22" s="22">
        <v>0</v>
      </c>
      <c r="E22" s="22">
        <v>0</v>
      </c>
      <c r="F22" s="22">
        <v>0</v>
      </c>
      <c r="G22" s="22">
        <v>0</v>
      </c>
      <c r="H22" s="22">
        <v>12</v>
      </c>
      <c r="I22" s="23">
        <f>Table7129[[#This Row],[Leave]]+Table7129[[#This Row],[Discharged]]+Table7129[[#This Row],[Transferred to other Shaft / Area]]+Table7129[[#This Row],[Sick Leave]]+Table7129[[#This Row],[Training]]+Table7129[[#This Row],[Other]]</f>
        <v>12</v>
      </c>
    </row>
    <row r="23" spans="1:9" s="4" customFormat="1">
      <c r="A23" s="55">
        <f t="shared" si="0"/>
        <v>41305</v>
      </c>
      <c r="B23" s="128" t="s">
        <v>11</v>
      </c>
      <c r="C23" s="56">
        <v>0</v>
      </c>
      <c r="D23" s="56">
        <v>4</v>
      </c>
      <c r="E23" s="56">
        <v>3</v>
      </c>
      <c r="F23" s="56">
        <v>0</v>
      </c>
      <c r="G23" s="56">
        <v>1</v>
      </c>
      <c r="H23" s="56">
        <v>0</v>
      </c>
      <c r="I23" s="23">
        <f>Table7129[[#This Row],[Leave]]+Table7129[[#This Row],[Discharged]]+Table7129[[#This Row],[Transferred to other Shaft / Area]]+Table7129[[#This Row],[Sick Leave]]+Table7129[[#This Row],[Training]]+Table7129[[#This Row],[Other]]</f>
        <v>8</v>
      </c>
    </row>
    <row r="24" spans="1:9" s="4" customFormat="1" ht="13.5" thickBot="1">
      <c r="A24" s="57">
        <f t="shared" si="0"/>
        <v>41306</v>
      </c>
      <c r="B24" s="125" t="s">
        <v>18</v>
      </c>
      <c r="C24" s="58">
        <v>0</v>
      </c>
      <c r="D24" s="58">
        <v>7</v>
      </c>
      <c r="E24" s="58">
        <v>11</v>
      </c>
      <c r="F24" s="58">
        <v>0</v>
      </c>
      <c r="G24" s="58">
        <v>11</v>
      </c>
      <c r="H24" s="58">
        <v>0</v>
      </c>
      <c r="I24" s="23">
        <f>Table7129[[#This Row],[Leave]]+Table7129[[#This Row],[Discharged]]+Table7129[[#This Row],[Transferred to other Shaft / Area]]+Table7129[[#This Row],[Sick Leave]]+Table7129[[#This Row],[Training]]+Table7129[[#This Row],[Other]]</f>
        <v>29</v>
      </c>
    </row>
    <row r="25" spans="1:9" s="90" customFormat="1" ht="13.5" thickBot="1">
      <c r="A25" s="88" t="str">
        <f t="shared" si="0"/>
        <v>Week 2 Total</v>
      </c>
      <c r="B25" s="89"/>
      <c r="C25" s="89">
        <f t="shared" ref="C25:I25" si="1">SUM(C18:C24)</f>
        <v>1</v>
      </c>
      <c r="D25" s="89">
        <f t="shared" si="1"/>
        <v>39</v>
      </c>
      <c r="E25" s="89">
        <f t="shared" si="1"/>
        <v>17</v>
      </c>
      <c r="F25" s="89">
        <f t="shared" si="1"/>
        <v>0</v>
      </c>
      <c r="G25" s="89">
        <f t="shared" si="1"/>
        <v>33</v>
      </c>
      <c r="H25" s="89">
        <f t="shared" si="1"/>
        <v>13</v>
      </c>
      <c r="I25" s="89">
        <f t="shared" si="1"/>
        <v>103</v>
      </c>
    </row>
    <row r="26" spans="1:9" ht="26.25">
      <c r="A26" s="134">
        <f>A1</f>
        <v>41308</v>
      </c>
      <c r="B26" s="134"/>
      <c r="C26" s="134"/>
      <c r="D26" s="134"/>
      <c r="E26" s="134"/>
      <c r="F26" s="45"/>
      <c r="G26" s="45"/>
      <c r="H26" s="45"/>
      <c r="I26" s="45"/>
    </row>
    <row r="27" spans="1:9" ht="13.5" thickBot="1"/>
    <row r="28" spans="1:9" ht="21" thickBot="1">
      <c r="A28" s="144" t="s">
        <v>8</v>
      </c>
      <c r="B28" s="145"/>
      <c r="C28" s="145"/>
      <c r="D28" s="145"/>
      <c r="E28" s="146"/>
    </row>
    <row r="29" spans="1:9" s="1" customFormat="1" ht="93" customHeight="1" thickBot="1">
      <c r="A29" s="34" t="s">
        <v>0</v>
      </c>
      <c r="B29" s="35" t="s">
        <v>1</v>
      </c>
      <c r="C29" s="35" t="s">
        <v>40</v>
      </c>
      <c r="D29" s="35" t="s">
        <v>42</v>
      </c>
      <c r="E29" s="36" t="s">
        <v>41</v>
      </c>
    </row>
    <row r="30" spans="1:9" s="4" customFormat="1">
      <c r="A30" s="32">
        <f>A5</f>
        <v>41302</v>
      </c>
      <c r="B30" s="33" t="s">
        <v>18</v>
      </c>
      <c r="C30" s="33">
        <v>5</v>
      </c>
      <c r="D30" s="33">
        <v>4</v>
      </c>
      <c r="E30" s="33">
        <v>80</v>
      </c>
    </row>
    <row r="31" spans="1:9" s="4" customFormat="1">
      <c r="A31" s="32">
        <f>A6</f>
        <v>41302</v>
      </c>
      <c r="B31" s="19" t="s">
        <v>21</v>
      </c>
      <c r="C31" s="19">
        <v>8</v>
      </c>
      <c r="D31" s="115">
        <v>3</v>
      </c>
      <c r="E31" s="114"/>
    </row>
    <row r="32" spans="1:9" s="4" customFormat="1">
      <c r="A32" s="30">
        <f>A7</f>
        <v>41303</v>
      </c>
      <c r="B32" s="20" t="s">
        <v>7</v>
      </c>
      <c r="C32" s="20">
        <v>57</v>
      </c>
      <c r="D32" s="20">
        <v>9</v>
      </c>
      <c r="E32" s="31">
        <v>66</v>
      </c>
    </row>
    <row r="33" spans="1:21" s="4" customFormat="1">
      <c r="A33" s="30">
        <f>A7</f>
        <v>41303</v>
      </c>
      <c r="B33" s="20" t="s">
        <v>11</v>
      </c>
      <c r="C33" s="20">
        <v>6</v>
      </c>
      <c r="D33" s="20">
        <v>3</v>
      </c>
      <c r="E33" s="31"/>
    </row>
    <row r="34" spans="1:21" s="4" customFormat="1">
      <c r="A34" s="30">
        <f>A7</f>
        <v>41303</v>
      </c>
      <c r="B34" s="20" t="s">
        <v>15</v>
      </c>
      <c r="C34" s="20">
        <v>3</v>
      </c>
      <c r="D34" s="20">
        <v>3</v>
      </c>
      <c r="E34" s="31"/>
    </row>
    <row r="35" spans="1:21" s="4" customFormat="1">
      <c r="A35" s="28">
        <f>A9</f>
        <v>41304</v>
      </c>
      <c r="B35" s="19" t="s">
        <v>9</v>
      </c>
      <c r="C35" s="19">
        <v>13</v>
      </c>
      <c r="D35" s="19">
        <v>5</v>
      </c>
      <c r="E35" s="29">
        <v>42</v>
      </c>
    </row>
    <row r="36" spans="1:21" s="4" customFormat="1">
      <c r="A36" s="28">
        <f>A9</f>
        <v>41304</v>
      </c>
      <c r="B36" s="19" t="s">
        <v>22</v>
      </c>
      <c r="C36" s="19">
        <v>14</v>
      </c>
      <c r="D36" s="19">
        <v>2</v>
      </c>
      <c r="E36" s="29"/>
    </row>
    <row r="37" spans="1:21" s="4" customFormat="1">
      <c r="A37" s="30">
        <f>A10</f>
        <v>41305</v>
      </c>
      <c r="B37" s="20" t="s">
        <v>5</v>
      </c>
      <c r="C37" s="20">
        <v>38</v>
      </c>
      <c r="D37" s="20">
        <v>5</v>
      </c>
      <c r="E37" s="31">
        <v>48</v>
      </c>
    </row>
    <row r="38" spans="1:21" s="4" customFormat="1">
      <c r="A38" s="30">
        <f>A10</f>
        <v>41305</v>
      </c>
      <c r="B38" s="20" t="s">
        <v>18</v>
      </c>
      <c r="C38" s="20">
        <v>75</v>
      </c>
      <c r="D38" s="20">
        <v>9</v>
      </c>
      <c r="E38" s="31"/>
    </row>
    <row r="39" spans="1:21" s="4" customFormat="1">
      <c r="A39" s="30">
        <f>A10</f>
        <v>41305</v>
      </c>
      <c r="B39" s="20" t="s">
        <v>14</v>
      </c>
      <c r="C39" s="20">
        <v>1</v>
      </c>
      <c r="D39" s="20">
        <v>0</v>
      </c>
      <c r="E39" s="31"/>
    </row>
    <row r="40" spans="1:21" s="4" customFormat="1">
      <c r="A40" s="28">
        <v>41215</v>
      </c>
      <c r="B40" s="19" t="s">
        <v>43</v>
      </c>
      <c r="C40" s="19">
        <v>28</v>
      </c>
      <c r="D40" s="19">
        <v>7</v>
      </c>
      <c r="E40" s="29">
        <v>43</v>
      </c>
    </row>
    <row r="41" spans="1:21" s="4" customFormat="1" ht="13.5" thickBot="1">
      <c r="A41" s="28">
        <v>41215</v>
      </c>
      <c r="B41" s="19" t="s">
        <v>6</v>
      </c>
      <c r="C41" s="19">
        <v>33</v>
      </c>
      <c r="D41" s="19">
        <v>6</v>
      </c>
      <c r="E41" s="29"/>
    </row>
    <row r="42" spans="1:21" s="90" customFormat="1" ht="13.5" thickBot="1">
      <c r="A42" s="88" t="str">
        <f>A12</f>
        <v>Week 2 Total</v>
      </c>
      <c r="B42" s="89"/>
      <c r="C42" s="89">
        <f>SUM(C30:C41)</f>
        <v>281</v>
      </c>
      <c r="D42" s="89">
        <f>SUM(D30:D41)</f>
        <v>56</v>
      </c>
      <c r="E42" s="89">
        <f>SUM(E30:E41)</f>
        <v>279</v>
      </c>
    </row>
    <row r="43" spans="1:21" s="4" customFormat="1">
      <c r="A43"/>
      <c r="B43"/>
      <c r="C43"/>
      <c r="D43"/>
      <c r="E43"/>
    </row>
    <row r="44" spans="1:21" ht="26.25">
      <c r="A44" s="142">
        <f>A1</f>
        <v>41308</v>
      </c>
      <c r="B44" s="142"/>
      <c r="C44" s="142"/>
      <c r="D44" s="142"/>
      <c r="E44" s="142"/>
      <c r="F44" s="142"/>
      <c r="G44" s="142"/>
      <c r="H44" s="142"/>
      <c r="I44" s="142"/>
      <c r="J44" s="142"/>
      <c r="K44" s="142"/>
      <c r="L44" s="142"/>
      <c r="M44" s="142"/>
      <c r="N44" s="142"/>
      <c r="O44" s="142"/>
      <c r="P44" s="142"/>
      <c r="Q44" s="142"/>
      <c r="R44" s="142"/>
      <c r="S44" s="142"/>
      <c r="T44" s="142"/>
      <c r="U44" s="142"/>
    </row>
    <row r="45" spans="1:21" ht="13.5" thickBot="1"/>
    <row r="46" spans="1:21" ht="21" thickBot="1">
      <c r="A46" s="139" t="s">
        <v>12</v>
      </c>
      <c r="B46" s="140"/>
      <c r="C46" s="140"/>
      <c r="D46" s="140"/>
      <c r="E46" s="140"/>
      <c r="F46" s="140"/>
      <c r="G46" s="140"/>
      <c r="H46" s="140"/>
      <c r="I46" s="140"/>
      <c r="J46" s="140"/>
      <c r="K46" s="140"/>
      <c r="L46" s="140"/>
      <c r="M46" s="140"/>
      <c r="N46" s="140"/>
      <c r="O46" s="140"/>
      <c r="P46" s="140"/>
      <c r="Q46" s="140"/>
      <c r="R46" s="140"/>
      <c r="S46" s="140"/>
      <c r="T46" s="140"/>
      <c r="U46" s="141"/>
    </row>
    <row r="47" spans="1:21" s="1" customFormat="1" ht="80.25" customHeight="1" thickBot="1">
      <c r="A47" s="40" t="s">
        <v>0</v>
      </c>
      <c r="B47" s="41" t="s">
        <v>13</v>
      </c>
      <c r="C47" s="41" t="s">
        <v>14</v>
      </c>
      <c r="D47" s="41" t="s">
        <v>15</v>
      </c>
      <c r="E47" s="41" t="s">
        <v>16</v>
      </c>
      <c r="F47" s="41" t="s">
        <v>9</v>
      </c>
      <c r="G47" s="41" t="s">
        <v>10</v>
      </c>
      <c r="H47" s="41" t="s">
        <v>5</v>
      </c>
      <c r="I47" s="41" t="s">
        <v>3</v>
      </c>
      <c r="J47" s="41" t="s">
        <v>4</v>
      </c>
      <c r="K47" s="41" t="s">
        <v>17</v>
      </c>
      <c r="L47" s="41" t="s">
        <v>7</v>
      </c>
      <c r="M47" s="41" t="s">
        <v>11</v>
      </c>
      <c r="N47" s="41" t="s">
        <v>18</v>
      </c>
      <c r="O47" s="41" t="s">
        <v>6</v>
      </c>
      <c r="P47" s="41" t="s">
        <v>19</v>
      </c>
      <c r="Q47" s="41" t="s">
        <v>20</v>
      </c>
      <c r="R47" s="41" t="s">
        <v>21</v>
      </c>
      <c r="S47" s="41" t="s">
        <v>22</v>
      </c>
      <c r="T47" s="41" t="s">
        <v>43</v>
      </c>
      <c r="U47" s="42" t="s">
        <v>44</v>
      </c>
    </row>
    <row r="48" spans="1:21" s="21" customFormat="1">
      <c r="A48" s="37">
        <f>A5</f>
        <v>41302</v>
      </c>
      <c r="B48" s="38">
        <v>2</v>
      </c>
      <c r="C48" s="38">
        <v>0</v>
      </c>
      <c r="D48" s="38">
        <v>0</v>
      </c>
      <c r="E48" s="38">
        <v>0</v>
      </c>
      <c r="F48" s="38">
        <v>1</v>
      </c>
      <c r="G48" s="38">
        <v>0</v>
      </c>
      <c r="H48" s="38">
        <v>0</v>
      </c>
      <c r="I48" s="38">
        <v>0</v>
      </c>
      <c r="J48" s="38">
        <v>0</v>
      </c>
      <c r="K48" s="38">
        <v>1</v>
      </c>
      <c r="L48" s="38">
        <v>5</v>
      </c>
      <c r="M48" s="38">
        <v>3</v>
      </c>
      <c r="N48" s="38">
        <v>7</v>
      </c>
      <c r="O48" s="38">
        <v>6</v>
      </c>
      <c r="P48" s="38">
        <v>4</v>
      </c>
      <c r="Q48" s="38">
        <v>0</v>
      </c>
      <c r="R48" s="38">
        <v>7</v>
      </c>
      <c r="S48" s="38">
        <v>1</v>
      </c>
      <c r="T48" s="38">
        <v>2</v>
      </c>
      <c r="U48" s="39">
        <f>SUM(Table10131[[#This Row],[1'#]:[Minpro]])</f>
        <v>39</v>
      </c>
    </row>
    <row r="49" spans="1:21" s="21" customFormat="1">
      <c r="A49" s="16">
        <f>A7</f>
        <v>41303</v>
      </c>
      <c r="B49" s="22">
        <v>1</v>
      </c>
      <c r="C49" s="22">
        <v>0</v>
      </c>
      <c r="D49" s="22">
        <v>4</v>
      </c>
      <c r="E49" s="22">
        <v>0</v>
      </c>
      <c r="F49" s="22">
        <v>2</v>
      </c>
      <c r="G49" s="22">
        <v>0</v>
      </c>
      <c r="H49" s="22">
        <v>0</v>
      </c>
      <c r="I49" s="22">
        <v>0</v>
      </c>
      <c r="J49" s="22">
        <v>1</v>
      </c>
      <c r="K49" s="22">
        <v>1</v>
      </c>
      <c r="L49" s="22">
        <v>4</v>
      </c>
      <c r="M49" s="22">
        <v>1</v>
      </c>
      <c r="N49" s="22">
        <v>4</v>
      </c>
      <c r="O49" s="22">
        <v>4</v>
      </c>
      <c r="P49" s="22">
        <v>2</v>
      </c>
      <c r="Q49" s="22">
        <v>0</v>
      </c>
      <c r="R49" s="22">
        <v>3</v>
      </c>
      <c r="S49" s="22">
        <v>1</v>
      </c>
      <c r="T49" s="22">
        <v>3</v>
      </c>
      <c r="U49" s="23">
        <f>SUM(Table10131[[#This Row],[1'#]:[Minpro]])</f>
        <v>31</v>
      </c>
    </row>
    <row r="50" spans="1:21" s="21" customFormat="1">
      <c r="A50" s="16">
        <f>A9</f>
        <v>41304</v>
      </c>
      <c r="B50" s="22">
        <v>2</v>
      </c>
      <c r="C50" s="22">
        <v>0</v>
      </c>
      <c r="D50" s="22">
        <v>0</v>
      </c>
      <c r="E50" s="22">
        <v>0</v>
      </c>
      <c r="F50" s="22">
        <v>0</v>
      </c>
      <c r="G50" s="22">
        <v>0</v>
      </c>
      <c r="H50" s="22">
        <v>0</v>
      </c>
      <c r="I50" s="22">
        <v>0</v>
      </c>
      <c r="J50" s="22">
        <v>1</v>
      </c>
      <c r="K50" s="22">
        <v>2</v>
      </c>
      <c r="L50" s="22">
        <v>5</v>
      </c>
      <c r="M50" s="22">
        <v>4</v>
      </c>
      <c r="N50" s="22">
        <v>3</v>
      </c>
      <c r="O50" s="22">
        <v>2</v>
      </c>
      <c r="P50" s="22">
        <v>2</v>
      </c>
      <c r="Q50" s="22">
        <v>1</v>
      </c>
      <c r="R50" s="22">
        <v>5</v>
      </c>
      <c r="S50" s="22">
        <v>0</v>
      </c>
      <c r="T50" s="22">
        <v>4</v>
      </c>
      <c r="U50" s="23">
        <f>SUM(Table10131[[#This Row],[1'#]:[Minpro]])</f>
        <v>31</v>
      </c>
    </row>
    <row r="51" spans="1:21" s="21" customFormat="1">
      <c r="A51" s="16">
        <f>A10</f>
        <v>41305</v>
      </c>
      <c r="B51" s="22">
        <v>1</v>
      </c>
      <c r="C51" s="22">
        <v>1</v>
      </c>
      <c r="D51" s="22">
        <v>1</v>
      </c>
      <c r="E51" s="22">
        <v>0</v>
      </c>
      <c r="F51" s="22">
        <v>1</v>
      </c>
      <c r="G51" s="22">
        <v>0</v>
      </c>
      <c r="H51" s="22">
        <v>1</v>
      </c>
      <c r="I51" s="22">
        <v>0</v>
      </c>
      <c r="J51" s="22">
        <v>0</v>
      </c>
      <c r="K51" s="22">
        <v>0</v>
      </c>
      <c r="L51" s="22">
        <v>3</v>
      </c>
      <c r="M51" s="22">
        <v>1</v>
      </c>
      <c r="N51" s="22">
        <v>3</v>
      </c>
      <c r="O51" s="22">
        <v>2</v>
      </c>
      <c r="P51" s="22">
        <v>10</v>
      </c>
      <c r="Q51" s="22">
        <v>4</v>
      </c>
      <c r="R51" s="22">
        <v>2</v>
      </c>
      <c r="S51" s="22">
        <v>0</v>
      </c>
      <c r="T51" s="22">
        <v>3</v>
      </c>
      <c r="U51" s="23">
        <f>SUM(Table10131[[#This Row],[1'#]:[Minpro]])</f>
        <v>33</v>
      </c>
    </row>
    <row r="52" spans="1:21" s="21" customFormat="1" ht="13.5" thickBot="1">
      <c r="A52" s="24">
        <v>41215</v>
      </c>
      <c r="B52" s="25">
        <v>6</v>
      </c>
      <c r="C52" s="25">
        <v>0</v>
      </c>
      <c r="D52" s="25">
        <v>0</v>
      </c>
      <c r="E52" s="25">
        <v>0</v>
      </c>
      <c r="F52" s="25">
        <v>21</v>
      </c>
      <c r="G52" s="25">
        <v>0</v>
      </c>
      <c r="H52" s="25">
        <v>0</v>
      </c>
      <c r="I52" s="25">
        <v>0</v>
      </c>
      <c r="J52" s="25">
        <v>2</v>
      </c>
      <c r="K52" s="25">
        <v>1</v>
      </c>
      <c r="L52" s="25">
        <v>1</v>
      </c>
      <c r="M52" s="25">
        <v>4</v>
      </c>
      <c r="N52" s="25">
        <v>1</v>
      </c>
      <c r="O52" s="25">
        <v>1</v>
      </c>
      <c r="P52" s="25">
        <v>5</v>
      </c>
      <c r="Q52" s="25">
        <v>0</v>
      </c>
      <c r="R52" s="25">
        <v>2</v>
      </c>
      <c r="S52" s="25">
        <v>0</v>
      </c>
      <c r="T52" s="25">
        <v>1</v>
      </c>
      <c r="U52" s="23">
        <f>SUM(Table10131[[#This Row],[1'#]:[Minpro]])</f>
        <v>45</v>
      </c>
    </row>
    <row r="53" spans="1:21" s="87" customFormat="1" ht="13.5" thickBot="1">
      <c r="A53" s="85" t="str">
        <f>A12</f>
        <v>Week 2 Total</v>
      </c>
      <c r="B53" s="86">
        <f>SUM(B48:B52)</f>
        <v>12</v>
      </c>
      <c r="C53" s="86">
        <f t="shared" ref="C53:U53" si="2">SUM(C48:C52)</f>
        <v>1</v>
      </c>
      <c r="D53" s="86">
        <f t="shared" si="2"/>
        <v>5</v>
      </c>
      <c r="E53" s="86">
        <f t="shared" si="2"/>
        <v>0</v>
      </c>
      <c r="F53" s="86">
        <f t="shared" si="2"/>
        <v>25</v>
      </c>
      <c r="G53" s="86">
        <f t="shared" si="2"/>
        <v>0</v>
      </c>
      <c r="H53" s="86">
        <f t="shared" si="2"/>
        <v>1</v>
      </c>
      <c r="I53" s="86">
        <f t="shared" si="2"/>
        <v>0</v>
      </c>
      <c r="J53" s="86">
        <f t="shared" si="2"/>
        <v>4</v>
      </c>
      <c r="K53" s="86">
        <f t="shared" si="2"/>
        <v>5</v>
      </c>
      <c r="L53" s="86">
        <f t="shared" si="2"/>
        <v>18</v>
      </c>
      <c r="M53" s="86">
        <f t="shared" si="2"/>
        <v>13</v>
      </c>
      <c r="N53" s="86">
        <f t="shared" si="2"/>
        <v>18</v>
      </c>
      <c r="O53" s="86">
        <f t="shared" si="2"/>
        <v>15</v>
      </c>
      <c r="P53" s="86">
        <f t="shared" si="2"/>
        <v>23</v>
      </c>
      <c r="Q53" s="86">
        <f t="shared" si="2"/>
        <v>5</v>
      </c>
      <c r="R53" s="86">
        <f t="shared" si="2"/>
        <v>19</v>
      </c>
      <c r="S53" s="86">
        <f t="shared" si="2"/>
        <v>2</v>
      </c>
      <c r="T53" s="86">
        <f t="shared" si="2"/>
        <v>13</v>
      </c>
      <c r="U53" s="86">
        <f t="shared" si="2"/>
        <v>179</v>
      </c>
    </row>
    <row r="54" spans="1:21" s="21" customFormat="1" ht="26.25">
      <c r="A54" s="134">
        <f>A1</f>
        <v>41308</v>
      </c>
      <c r="B54" s="134"/>
      <c r="C54" s="134"/>
      <c r="D54" s="134"/>
      <c r="E54" s="134"/>
      <c r="F54" s="134"/>
      <c r="G54" s="134"/>
      <c r="H54" s="134"/>
      <c r="I54" s="134"/>
      <c r="J54" s="134"/>
      <c r="K54"/>
      <c r="L54"/>
      <c r="M54"/>
      <c r="N54"/>
      <c r="O54"/>
      <c r="P54"/>
      <c r="Q54"/>
      <c r="R54"/>
      <c r="S54"/>
      <c r="T54"/>
      <c r="U54"/>
    </row>
    <row r="55" spans="1:21" ht="13.5" thickBot="1"/>
    <row r="56" spans="1:21" ht="21" thickBot="1">
      <c r="A56" s="136" t="s">
        <v>52</v>
      </c>
      <c r="B56" s="137"/>
      <c r="C56" s="137"/>
      <c r="D56" s="137"/>
      <c r="E56" s="137"/>
      <c r="F56" s="137"/>
      <c r="G56" s="137"/>
      <c r="H56" s="137"/>
      <c r="I56" s="137"/>
      <c r="J56" s="138"/>
    </row>
    <row r="57" spans="1:21" ht="51.75" thickBot="1">
      <c r="A57" s="40" t="s">
        <v>0</v>
      </c>
      <c r="B57" s="41" t="s">
        <v>24</v>
      </c>
      <c r="C57" s="41" t="s">
        <v>48</v>
      </c>
      <c r="D57" s="41" t="s">
        <v>25</v>
      </c>
      <c r="E57" s="41" t="s">
        <v>49</v>
      </c>
      <c r="F57" s="41" t="s">
        <v>45</v>
      </c>
      <c r="G57" s="41" t="s">
        <v>50</v>
      </c>
      <c r="H57" s="41" t="s">
        <v>46</v>
      </c>
      <c r="I57" s="41" t="s">
        <v>51</v>
      </c>
      <c r="J57" s="42" t="s">
        <v>47</v>
      </c>
      <c r="K57" s="1"/>
      <c r="L57" s="1"/>
      <c r="M57" s="1"/>
      <c r="N57" s="1"/>
      <c r="O57" s="1"/>
      <c r="P57" s="1"/>
      <c r="Q57" s="1"/>
      <c r="R57" s="1"/>
      <c r="S57" s="1"/>
      <c r="T57" s="1"/>
      <c r="U57" s="1"/>
    </row>
    <row r="58" spans="1:21" s="1" customFormat="1">
      <c r="A58" s="3">
        <f>A5</f>
        <v>41302</v>
      </c>
      <c r="B58" s="10">
        <v>9</v>
      </c>
      <c r="C58" s="44">
        <f>Table11132[[#This Row],[Contractors]]/U48</f>
        <v>0.23076923076923078</v>
      </c>
      <c r="D58" s="10">
        <v>11</v>
      </c>
      <c r="E58" s="44">
        <f>Table11132[[#This Row],[New Recruits]]/U48</f>
        <v>0.28205128205128205</v>
      </c>
      <c r="F58" s="10">
        <v>18</v>
      </c>
      <c r="G58" s="44">
        <f>Table11132[[#This Row],[2 Year Claims]]/U48</f>
        <v>0.46153846153846156</v>
      </c>
      <c r="H58" s="10">
        <v>0</v>
      </c>
      <c r="I58" s="44">
        <f>Table11132[[#This Row],[5 Year Claim]]/U48</f>
        <v>0</v>
      </c>
      <c r="J58" s="11">
        <v>8</v>
      </c>
      <c r="K58"/>
      <c r="L58"/>
      <c r="M58"/>
      <c r="N58"/>
      <c r="O58"/>
      <c r="P58"/>
      <c r="Q58"/>
      <c r="R58"/>
      <c r="S58"/>
      <c r="T58"/>
      <c r="U58"/>
    </row>
    <row r="59" spans="1:21">
      <c r="A59" s="2">
        <f>A7</f>
        <v>41303</v>
      </c>
      <c r="B59" s="9">
        <v>10</v>
      </c>
      <c r="C59" s="13">
        <f>Table11132[[#This Row],[Contractors]]/U49</f>
        <v>0.32258064516129031</v>
      </c>
      <c r="D59" s="9">
        <v>17</v>
      </c>
      <c r="E59" s="13">
        <f>Table11132[[#This Row],[New Recruits]]/U49</f>
        <v>0.54838709677419351</v>
      </c>
      <c r="F59" s="9">
        <v>11</v>
      </c>
      <c r="G59" s="13">
        <f>Table11132[[#This Row],[2 Year Claims]]/U49</f>
        <v>0.35483870967741937</v>
      </c>
      <c r="H59" s="9">
        <v>0</v>
      </c>
      <c r="I59" s="13">
        <f>Table11132[[#This Row],[5 Year Claim]]/U49</f>
        <v>0</v>
      </c>
      <c r="J59" s="110">
        <v>5</v>
      </c>
    </row>
    <row r="60" spans="1:21">
      <c r="A60" s="2">
        <f>A9</f>
        <v>41304</v>
      </c>
      <c r="B60" s="9">
        <v>9</v>
      </c>
      <c r="C60" s="13">
        <f>Table11132[[#This Row],[Contractors]]/U50</f>
        <v>0.29032258064516131</v>
      </c>
      <c r="D60" s="9">
        <v>11</v>
      </c>
      <c r="E60" s="13">
        <f>Table11132[[#This Row],[New Recruits]]/U50</f>
        <v>0.35483870967741937</v>
      </c>
      <c r="F60" s="9">
        <v>17</v>
      </c>
      <c r="G60" s="13">
        <f>Table11132[[#This Row],[2 Year Claims]]/U50</f>
        <v>0.54838709677419351</v>
      </c>
      <c r="H60" s="9">
        <v>0</v>
      </c>
      <c r="I60" s="13">
        <f>Table11132[[#This Row],[5 Year Claim]]/U50</f>
        <v>0</v>
      </c>
      <c r="J60" s="110">
        <v>4</v>
      </c>
    </row>
    <row r="61" spans="1:21">
      <c r="A61" s="2">
        <f>A10</f>
        <v>41305</v>
      </c>
      <c r="B61" s="9">
        <v>14</v>
      </c>
      <c r="C61" s="13">
        <f>Table11132[[#This Row],[Contractors]]/U51</f>
        <v>0.42424242424242425</v>
      </c>
      <c r="D61" s="9">
        <v>11</v>
      </c>
      <c r="E61" s="13">
        <f>Table11132[[#This Row],[New Recruits]]/U51</f>
        <v>0.33333333333333331</v>
      </c>
      <c r="F61" s="9">
        <v>13</v>
      </c>
      <c r="G61" s="13">
        <f>Table11132[[#This Row],[2 Year Claims]]/U51</f>
        <v>0.39393939393939392</v>
      </c>
      <c r="H61" s="9">
        <v>1</v>
      </c>
      <c r="I61" s="13">
        <f>Table11132[[#This Row],[5 Year Claim]]/U51</f>
        <v>3.0303030303030304E-2</v>
      </c>
      <c r="J61" s="110">
        <v>6</v>
      </c>
    </row>
    <row r="62" spans="1:21" ht="13.5" thickBot="1">
      <c r="A62" s="5">
        <v>41215</v>
      </c>
      <c r="B62" s="15">
        <v>8</v>
      </c>
      <c r="C62" s="13">
        <f>Table11132[[#This Row],[Contractors]]/U52</f>
        <v>0.17777777777777778</v>
      </c>
      <c r="D62" s="15">
        <v>25</v>
      </c>
      <c r="E62" s="13">
        <f>Table11132[[#This Row],[New Recruits]]/U52</f>
        <v>0.55555555555555558</v>
      </c>
      <c r="F62" s="15">
        <v>8</v>
      </c>
      <c r="G62" s="13">
        <f>Table11132[[#This Row],[2 Year Claims]]/U52</f>
        <v>0.17777777777777778</v>
      </c>
      <c r="H62" s="15">
        <v>0</v>
      </c>
      <c r="I62" s="13">
        <f>Table11132[[#This Row],[5 Year Claim]]/U52</f>
        <v>0</v>
      </c>
      <c r="J62" s="111">
        <v>5</v>
      </c>
    </row>
    <row r="63" spans="1:21" ht="13.5" thickBot="1">
      <c r="A63" s="84" t="str">
        <f>A12</f>
        <v>Week 2 Total</v>
      </c>
      <c r="B63" s="112">
        <f>SUM(B58:B62)</f>
        <v>50</v>
      </c>
      <c r="C63" s="113">
        <f>AVERAGE(C58:C62)</f>
        <v>0.28913853171917692</v>
      </c>
      <c r="D63" s="112">
        <f>SUM(D58:D62)</f>
        <v>75</v>
      </c>
      <c r="E63" s="113">
        <f>AVERAGE(E58:E62)</f>
        <v>0.41483319547835673</v>
      </c>
      <c r="F63" s="112">
        <f>SUM(F58:F62)</f>
        <v>67</v>
      </c>
      <c r="G63" s="113">
        <f>AVERAGE(G58:G62)</f>
        <v>0.38729628794144921</v>
      </c>
      <c r="H63" s="112">
        <f>SUM(H58:H62)</f>
        <v>1</v>
      </c>
      <c r="I63" s="113">
        <f>AVERAGE(I58:I62)</f>
        <v>6.0606060606060606E-3</v>
      </c>
      <c r="J63" s="112">
        <f>SUM(J58:J62)</f>
        <v>28</v>
      </c>
    </row>
    <row r="64" spans="1:21" ht="26.25">
      <c r="A64" s="134"/>
      <c r="B64" s="135"/>
    </row>
    <row r="65" spans="1:2">
      <c r="A65" s="101"/>
      <c r="B65" s="101"/>
    </row>
  </sheetData>
  <mergeCells count="11">
    <mergeCell ref="A64:B64"/>
    <mergeCell ref="A56:J56"/>
    <mergeCell ref="A44:U44"/>
    <mergeCell ref="A1:H1"/>
    <mergeCell ref="A3:H3"/>
    <mergeCell ref="A54:J54"/>
    <mergeCell ref="A14:I14"/>
    <mergeCell ref="A16:I16"/>
    <mergeCell ref="A26:E26"/>
    <mergeCell ref="A28:E28"/>
    <mergeCell ref="A46:U46"/>
  </mergeCells>
  <phoneticPr fontId="1" type="noConversion"/>
  <conditionalFormatting sqref="D30:D31">
    <cfRule type="cellIs" dxfId="707" priority="26" operator="greaterThan">
      <formula>$C$30</formula>
    </cfRule>
  </conditionalFormatting>
  <conditionalFormatting sqref="D32">
    <cfRule type="cellIs" dxfId="706" priority="21" operator="greaterThan">
      <formula>$C$32</formula>
    </cfRule>
  </conditionalFormatting>
  <conditionalFormatting sqref="D34">
    <cfRule type="cellIs" dxfId="705" priority="20" operator="greaterThan">
      <formula>$C$34</formula>
    </cfRule>
  </conditionalFormatting>
  <conditionalFormatting sqref="D35">
    <cfRule type="cellIs" dxfId="704" priority="17" operator="greaterThan">
      <formula>$C$35</formula>
    </cfRule>
  </conditionalFormatting>
  <conditionalFormatting sqref="D36">
    <cfRule type="cellIs" dxfId="703" priority="16" operator="greaterThan">
      <formula>$C$36</formula>
    </cfRule>
  </conditionalFormatting>
  <conditionalFormatting sqref="D37">
    <cfRule type="cellIs" dxfId="702" priority="12" operator="greaterThan">
      <formula>$C$37</formula>
    </cfRule>
  </conditionalFormatting>
  <conditionalFormatting sqref="D38">
    <cfRule type="cellIs" dxfId="701" priority="11" operator="greaterThan">
      <formula>$C$38</formula>
    </cfRule>
  </conditionalFormatting>
  <conditionalFormatting sqref="D39">
    <cfRule type="cellIs" dxfId="700" priority="10" operator="greaterThan">
      <formula>$C$39</formula>
    </cfRule>
  </conditionalFormatting>
  <conditionalFormatting sqref="D40">
    <cfRule type="cellIs" dxfId="699" priority="7" operator="greaterThan">
      <formula>$C$40</formula>
    </cfRule>
  </conditionalFormatting>
  <conditionalFormatting sqref="D41">
    <cfRule type="cellIs" dxfId="698" priority="6" operator="greaterThan">
      <formula>$C$41</formula>
    </cfRule>
  </conditionalFormatting>
  <conditionalFormatting sqref="F12 F5:F10">
    <cfRule type="cellIs" dxfId="697" priority="1" operator="lessThan">
      <formula>0.7</formula>
    </cfRule>
    <cfRule type="cellIs" dxfId="696" priority="2" operator="greaterThan">
      <formula>0.7</formula>
    </cfRule>
  </conditionalFormatting>
  <pageMargins left="0.15748031496062992" right="0.15748031496062992" top="0.39370078740157483" bottom="0.39370078740157483" header="0.51181102362204722" footer="0.51181102362204722"/>
  <pageSetup paperSize="9" scale="97" orientation="landscape" verticalDpi="0" r:id="rId1"/>
  <headerFooter alignWithMargins="0"/>
  <legacy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dimension ref="A1"/>
  <sheetViews>
    <sheetView topLeftCell="A115" zoomScale="75" zoomScaleNormal="75" workbookViewId="0">
      <selection activeCell="A85" sqref="A1:XFD1048576"/>
    </sheetView>
  </sheetViews>
  <sheetFormatPr defaultRowHeight="12.75"/>
  <sheetData/>
  <phoneticPr fontId="1" type="noConversion"/>
  <pageMargins left="0.15748031496062992" right="0.15748031496062992" top="0.39370078740157483" bottom="0.39370078740157483" header="0.51181102362204722" footer="0.51181102362204722"/>
  <pageSetup paperSize="9" orientation="landscape" verticalDpi="0" r:id="rId1"/>
  <headerFooter alignWithMargins="0"/>
  <drawing r:id="rId2"/>
</worksheet>
</file>

<file path=xl/worksheets/sheet5.xml><?xml version="1.0" encoding="utf-8"?>
<worksheet xmlns="http://schemas.openxmlformats.org/spreadsheetml/2006/main" xmlns:r="http://schemas.openxmlformats.org/officeDocument/2006/relationships">
  <dimension ref="A1:U57"/>
  <sheetViews>
    <sheetView zoomScaleNormal="100" workbookViewId="0">
      <selection activeCell="I32" sqref="I32"/>
    </sheetView>
  </sheetViews>
  <sheetFormatPr defaultRowHeight="12.75"/>
  <cols>
    <col min="1" max="1" width="15.7109375" customWidth="1"/>
    <col min="2" max="10" width="13.7109375" customWidth="1"/>
    <col min="11" max="21" width="8.85546875" customWidth="1"/>
  </cols>
  <sheetData>
    <row r="1" spans="1:9" ht="26.25">
      <c r="A1" s="143">
        <v>41315</v>
      </c>
      <c r="B1" s="143"/>
      <c r="C1" s="143"/>
      <c r="D1" s="143"/>
      <c r="E1" s="143"/>
      <c r="F1" s="143"/>
      <c r="G1" s="143"/>
      <c r="H1" s="143"/>
    </row>
    <row r="2" spans="1:9" ht="13.5" thickBot="1"/>
    <row r="3" spans="1:9" ht="21" thickBot="1">
      <c r="A3" s="147" t="s">
        <v>2</v>
      </c>
      <c r="B3" s="148"/>
      <c r="C3" s="148"/>
      <c r="D3" s="148"/>
      <c r="E3" s="148"/>
      <c r="F3" s="148"/>
      <c r="G3" s="148"/>
      <c r="H3" s="149"/>
    </row>
    <row r="4" spans="1:9" s="1" customFormat="1" ht="80.25" customHeight="1" thickBot="1">
      <c r="A4" s="40" t="s">
        <v>0</v>
      </c>
      <c r="B4" s="41" t="s">
        <v>1</v>
      </c>
      <c r="C4" s="41" t="s">
        <v>26</v>
      </c>
      <c r="D4" s="41" t="s">
        <v>27</v>
      </c>
      <c r="E4" s="41" t="s">
        <v>28</v>
      </c>
      <c r="F4" s="41" t="s">
        <v>29</v>
      </c>
      <c r="G4" s="41" t="s">
        <v>30</v>
      </c>
      <c r="H4" s="42" t="s">
        <v>31</v>
      </c>
    </row>
    <row r="5" spans="1:9">
      <c r="A5" s="100">
        <v>41309</v>
      </c>
      <c r="B5" s="10" t="s">
        <v>3</v>
      </c>
      <c r="C5" s="10">
        <v>18</v>
      </c>
      <c r="D5" s="10">
        <v>16</v>
      </c>
      <c r="E5" s="10">
        <v>10</v>
      </c>
      <c r="F5" s="44">
        <f>Table3133[[#This Row],[Quantity Fitted at Shaft/Area]]/Table3133[[#This Row],[Quantity Paraded]]</f>
        <v>0.625</v>
      </c>
      <c r="G5" s="10">
        <v>7</v>
      </c>
      <c r="H5" s="12">
        <f>Table3133[[#This Row],[Quantity Fitted at Shaft/Area]]+Table3133[[#This Row],[Quantity Fitted at NC Office]]</f>
        <v>17</v>
      </c>
    </row>
    <row r="6" spans="1:9">
      <c r="A6" s="52">
        <f>A5+1</f>
        <v>41310</v>
      </c>
      <c r="B6" s="53" t="s">
        <v>21</v>
      </c>
      <c r="C6" s="53">
        <v>86</v>
      </c>
      <c r="D6" s="53">
        <v>61</v>
      </c>
      <c r="E6" s="53">
        <v>17</v>
      </c>
      <c r="F6" s="54">
        <f>Table3133[[#This Row],[Quantity Fitted at Shaft/Area]]/Table3133[[#This Row],[Quantity Paraded]]</f>
        <v>0.27868852459016391</v>
      </c>
      <c r="G6" s="53">
        <v>11</v>
      </c>
      <c r="H6" s="14">
        <f>Table3133[[#This Row],[Quantity Fitted at Shaft/Area]]+Table3133[[#This Row],[Quantity Fitted at NC Office]]</f>
        <v>28</v>
      </c>
    </row>
    <row r="7" spans="1:9">
      <c r="A7" s="17">
        <f>A5+1</f>
        <v>41310</v>
      </c>
      <c r="B7" s="9" t="s">
        <v>14</v>
      </c>
      <c r="C7" s="9">
        <v>45</v>
      </c>
      <c r="D7" s="9">
        <v>7</v>
      </c>
      <c r="E7" s="9">
        <v>1</v>
      </c>
      <c r="F7" s="44">
        <f>Table3133[[#This Row],[Quantity Fitted at Shaft/Area]]/Table3133[[#This Row],[Quantity Paraded]]</f>
        <v>0.14285714285714285</v>
      </c>
      <c r="G7" s="9"/>
      <c r="H7" s="14">
        <f>Table3133[[#This Row],[Quantity Fitted at Shaft/Area]]+Table3133[[#This Row],[Quantity Fitted at NC Office]]</f>
        <v>1</v>
      </c>
    </row>
    <row r="8" spans="1:9">
      <c r="A8" s="17">
        <f>A5+2</f>
        <v>41311</v>
      </c>
      <c r="B8" s="9" t="s">
        <v>17</v>
      </c>
      <c r="C8" s="9">
        <v>47</v>
      </c>
      <c r="D8" s="9">
        <v>19</v>
      </c>
      <c r="E8" s="9">
        <v>7</v>
      </c>
      <c r="F8" s="44">
        <f>Table3133[[#This Row],[Quantity Fitted at Shaft/Area]]/Table3133[[#This Row],[Quantity Paraded]]</f>
        <v>0.36842105263157893</v>
      </c>
      <c r="G8" s="9">
        <v>5</v>
      </c>
      <c r="H8" s="14">
        <f>Table3133[[#This Row],[Quantity Fitted at Shaft/Area]]+Table3133[[#This Row],[Quantity Fitted at NC Office]]</f>
        <v>12</v>
      </c>
    </row>
    <row r="9" spans="1:9">
      <c r="A9" s="17">
        <f>A5+3</f>
        <v>41312</v>
      </c>
      <c r="B9" s="9" t="s">
        <v>6</v>
      </c>
      <c r="C9" s="9">
        <v>70</v>
      </c>
      <c r="D9" s="9">
        <v>49</v>
      </c>
      <c r="E9" s="9">
        <v>15</v>
      </c>
      <c r="F9" s="44">
        <f>Table3133[[#This Row],[Quantity Fitted at Shaft/Area]]/Table3133[[#This Row],[Quantity Paraded]]</f>
        <v>0.30612244897959184</v>
      </c>
      <c r="G9" s="9">
        <v>12</v>
      </c>
      <c r="H9" s="14">
        <f>Table3133[[#This Row],[Quantity Fitted at Shaft/Area]]+Table3133[[#This Row],[Quantity Fitted at NC Office]]</f>
        <v>27</v>
      </c>
    </row>
    <row r="10" spans="1:9" ht="13.5" thickBot="1">
      <c r="A10" s="18">
        <f>A5+4</f>
        <v>41313</v>
      </c>
      <c r="B10" s="15" t="s">
        <v>11</v>
      </c>
      <c r="C10" s="15">
        <v>70</v>
      </c>
      <c r="D10" s="15">
        <v>42</v>
      </c>
      <c r="E10" s="15">
        <v>25</v>
      </c>
      <c r="F10" s="13">
        <f>Table3133[[#This Row],[Quantity Fitted at Shaft/Area]]/Table3133[[#This Row],[Quantity Paraded]]</f>
        <v>0.59523809523809523</v>
      </c>
      <c r="G10" s="15">
        <v>12</v>
      </c>
      <c r="H10" s="27">
        <f>Table3133[[#This Row],[Quantity Fitted at Shaft/Area]]+Table3133[[#This Row],[Quantity Fitted at NC Office]]</f>
        <v>37</v>
      </c>
    </row>
    <row r="11" spans="1:9" s="92" customFormat="1" ht="13.5" thickBot="1">
      <c r="A11" s="88" t="s">
        <v>54</v>
      </c>
      <c r="B11" s="89"/>
      <c r="C11" s="89">
        <f>SUM(C5:C10)</f>
        <v>336</v>
      </c>
      <c r="D11" s="89">
        <f>SUM(D5:D10)</f>
        <v>194</v>
      </c>
      <c r="E11" s="89">
        <f>SUM(E5:E10)</f>
        <v>75</v>
      </c>
      <c r="F11" s="91">
        <f>AVERAGE(F5:F10)</f>
        <v>0.38605454404942879</v>
      </c>
      <c r="G11" s="89">
        <f>SUM(G5:G10)</f>
        <v>47</v>
      </c>
      <c r="H11" s="89">
        <f>SUM(H5:H10)</f>
        <v>122</v>
      </c>
    </row>
    <row r="13" spans="1:9" ht="26.25">
      <c r="A13" s="142">
        <f>A1</f>
        <v>41315</v>
      </c>
      <c r="B13" s="142"/>
      <c r="C13" s="142"/>
      <c r="D13" s="142"/>
      <c r="E13" s="142"/>
      <c r="F13" s="142"/>
      <c r="G13" s="142"/>
      <c r="H13" s="142"/>
      <c r="I13" s="142"/>
    </row>
    <row r="14" spans="1:9" ht="13.5" thickBot="1"/>
    <row r="15" spans="1:9" ht="21" thickBot="1">
      <c r="A15" s="139" t="s">
        <v>39</v>
      </c>
      <c r="B15" s="140"/>
      <c r="C15" s="140"/>
      <c r="D15" s="140"/>
      <c r="E15" s="140"/>
      <c r="F15" s="140"/>
      <c r="G15" s="140"/>
      <c r="H15" s="140"/>
      <c r="I15" s="141"/>
    </row>
    <row r="16" spans="1:9" s="26" customFormat="1" ht="80.25" customHeight="1" thickBot="1">
      <c r="A16" s="40" t="s">
        <v>0</v>
      </c>
      <c r="B16" s="41" t="s">
        <v>1</v>
      </c>
      <c r="C16" s="41" t="s">
        <v>33</v>
      </c>
      <c r="D16" s="41" t="s">
        <v>34</v>
      </c>
      <c r="E16" s="41" t="s">
        <v>35</v>
      </c>
      <c r="F16" s="41" t="s">
        <v>36</v>
      </c>
      <c r="G16" s="41" t="s">
        <v>37</v>
      </c>
      <c r="H16" s="41" t="s">
        <v>38</v>
      </c>
      <c r="I16" s="42" t="s">
        <v>23</v>
      </c>
    </row>
    <row r="17" spans="1:9" s="4" customFormat="1">
      <c r="A17" s="37">
        <f t="shared" ref="A17:A23" si="0">A5</f>
        <v>41309</v>
      </c>
      <c r="B17" s="38" t="s">
        <v>3</v>
      </c>
      <c r="C17" s="38">
        <v>0</v>
      </c>
      <c r="D17" s="38">
        <v>0</v>
      </c>
      <c r="E17" s="38">
        <v>0</v>
      </c>
      <c r="F17" s="38">
        <v>0</v>
      </c>
      <c r="G17" s="38">
        <v>0</v>
      </c>
      <c r="H17" s="38">
        <v>2</v>
      </c>
      <c r="I17" s="23">
        <f>Table7134[[#This Row],[Leave]]+Table7134[[#This Row],[Discharged]]+Table7134[[#This Row],[Transferred to other Shaft / Area]]+Table7134[[#This Row],[Sick Leave]]+Table7134[[#This Row],[Training]]+Table7134[[#This Row],[Other]]</f>
        <v>2</v>
      </c>
    </row>
    <row r="18" spans="1:9" s="4" customFormat="1">
      <c r="A18" s="55">
        <f t="shared" si="0"/>
        <v>41310</v>
      </c>
      <c r="B18" s="56" t="s">
        <v>21</v>
      </c>
      <c r="C18" s="56">
        <v>0</v>
      </c>
      <c r="D18" s="56">
        <v>12</v>
      </c>
      <c r="E18" s="56">
        <v>9</v>
      </c>
      <c r="F18" s="56">
        <v>0</v>
      </c>
      <c r="G18" s="56">
        <v>0</v>
      </c>
      <c r="H18" s="56">
        <v>4</v>
      </c>
      <c r="I18" s="23">
        <f>Table7134[[#This Row],[Leave]]+Table7134[[#This Row],[Discharged]]+Table7134[[#This Row],[Transferred to other Shaft / Area]]+Table7134[[#This Row],[Sick Leave]]+Table7134[[#This Row],[Training]]+Table7134[[#This Row],[Other]]</f>
        <v>25</v>
      </c>
    </row>
    <row r="19" spans="1:9" s="4" customFormat="1">
      <c r="A19" s="16">
        <f t="shared" si="0"/>
        <v>41310</v>
      </c>
      <c r="B19" s="22" t="s">
        <v>14</v>
      </c>
      <c r="C19" s="22">
        <v>0</v>
      </c>
      <c r="D19" s="22">
        <v>30</v>
      </c>
      <c r="E19" s="22">
        <v>7</v>
      </c>
      <c r="F19" s="22">
        <v>0</v>
      </c>
      <c r="G19" s="22">
        <v>1</v>
      </c>
      <c r="H19" s="22">
        <v>0</v>
      </c>
      <c r="I19" s="23">
        <f>Table7134[[#This Row],[Leave]]+Table7134[[#This Row],[Discharged]]+Table7134[[#This Row],[Transferred to other Shaft / Area]]+Table7134[[#This Row],[Sick Leave]]+Table7134[[#This Row],[Training]]+Table7134[[#This Row],[Other]]</f>
        <v>38</v>
      </c>
    </row>
    <row r="20" spans="1:9" s="4" customFormat="1">
      <c r="A20" s="16">
        <f t="shared" si="0"/>
        <v>41311</v>
      </c>
      <c r="B20" s="22" t="s">
        <v>17</v>
      </c>
      <c r="C20" s="22">
        <v>3</v>
      </c>
      <c r="D20" s="22">
        <v>9</v>
      </c>
      <c r="E20" s="22">
        <v>6</v>
      </c>
      <c r="F20" s="22">
        <v>3</v>
      </c>
      <c r="G20" s="22">
        <v>7</v>
      </c>
      <c r="H20" s="22">
        <v>0</v>
      </c>
      <c r="I20" s="23">
        <f>Table7134[[#This Row],[Leave]]+Table7134[[#This Row],[Discharged]]+Table7134[[#This Row],[Transferred to other Shaft / Area]]+Table7134[[#This Row],[Sick Leave]]+Table7134[[#This Row],[Training]]+Table7134[[#This Row],[Other]]</f>
        <v>28</v>
      </c>
    </row>
    <row r="21" spans="1:9" s="4" customFormat="1">
      <c r="A21" s="16">
        <f t="shared" si="0"/>
        <v>41312</v>
      </c>
      <c r="B21" s="22" t="s">
        <v>6</v>
      </c>
      <c r="C21" s="22">
        <v>0</v>
      </c>
      <c r="D21" s="22">
        <v>10</v>
      </c>
      <c r="E21" s="22">
        <v>7</v>
      </c>
      <c r="F21" s="22">
        <v>0</v>
      </c>
      <c r="G21" s="22">
        <v>0</v>
      </c>
      <c r="H21" s="22">
        <v>4</v>
      </c>
      <c r="I21" s="23">
        <f>Table7134[[#This Row],[Leave]]+Table7134[[#This Row],[Discharged]]+Table7134[[#This Row],[Transferred to other Shaft / Area]]+Table7134[[#This Row],[Sick Leave]]+Table7134[[#This Row],[Training]]+Table7134[[#This Row],[Other]]</f>
        <v>21</v>
      </c>
    </row>
    <row r="22" spans="1:9" s="4" customFormat="1" ht="13.5" thickBot="1">
      <c r="A22" s="24">
        <f t="shared" si="0"/>
        <v>41313</v>
      </c>
      <c r="B22" s="25" t="s">
        <v>11</v>
      </c>
      <c r="C22" s="25">
        <v>3</v>
      </c>
      <c r="D22" s="25">
        <v>9</v>
      </c>
      <c r="E22" s="25">
        <v>2</v>
      </c>
      <c r="F22" s="25">
        <v>2</v>
      </c>
      <c r="G22" s="25">
        <v>12</v>
      </c>
      <c r="H22" s="25">
        <v>0</v>
      </c>
      <c r="I22" s="23">
        <f>Table7134[[#This Row],[Leave]]+Table7134[[#This Row],[Discharged]]+Table7134[[#This Row],[Transferred to other Shaft / Area]]+Table7134[[#This Row],[Sick Leave]]+Table7134[[#This Row],[Training]]+Table7134[[#This Row],[Other]]</f>
        <v>28</v>
      </c>
    </row>
    <row r="23" spans="1:9" s="90" customFormat="1" ht="13.5" thickBot="1">
      <c r="A23" s="88" t="str">
        <f t="shared" si="0"/>
        <v>Week 3 Total</v>
      </c>
      <c r="B23" s="89"/>
      <c r="C23" s="89">
        <f t="shared" ref="C23:I23" si="1">SUM(C17:C22)</f>
        <v>6</v>
      </c>
      <c r="D23" s="89">
        <f t="shared" si="1"/>
        <v>70</v>
      </c>
      <c r="E23" s="89">
        <f t="shared" si="1"/>
        <v>31</v>
      </c>
      <c r="F23" s="89">
        <f t="shared" si="1"/>
        <v>5</v>
      </c>
      <c r="G23" s="89">
        <f t="shared" si="1"/>
        <v>20</v>
      </c>
      <c r="H23" s="89">
        <f t="shared" si="1"/>
        <v>10</v>
      </c>
      <c r="I23" s="89">
        <f t="shared" si="1"/>
        <v>142</v>
      </c>
    </row>
    <row r="24" spans="1:9" ht="26.25">
      <c r="A24" s="134">
        <f>A1</f>
        <v>41315</v>
      </c>
      <c r="B24" s="134"/>
      <c r="C24" s="134"/>
      <c r="D24" s="134"/>
      <c r="E24" s="134"/>
      <c r="F24" s="45"/>
      <c r="G24" s="45"/>
      <c r="H24" s="45"/>
      <c r="I24" s="45"/>
    </row>
    <row r="25" spans="1:9" ht="13.5" thickBot="1"/>
    <row r="26" spans="1:9" ht="21" thickBot="1">
      <c r="A26" s="144" t="s">
        <v>8</v>
      </c>
      <c r="B26" s="145"/>
      <c r="C26" s="145"/>
      <c r="D26" s="145"/>
      <c r="E26" s="146"/>
    </row>
    <row r="27" spans="1:9" s="1" customFormat="1" ht="93" customHeight="1" thickBot="1">
      <c r="A27" s="34" t="s">
        <v>0</v>
      </c>
      <c r="B27" s="35" t="s">
        <v>1</v>
      </c>
      <c r="C27" s="35" t="s">
        <v>40</v>
      </c>
      <c r="D27" s="35" t="s">
        <v>42</v>
      </c>
      <c r="E27" s="36" t="s">
        <v>41</v>
      </c>
    </row>
    <row r="28" spans="1:9" s="4" customFormat="1">
      <c r="A28" s="28">
        <f>A5</f>
        <v>41309</v>
      </c>
      <c r="B28" s="19" t="s">
        <v>13</v>
      </c>
      <c r="C28" s="19">
        <v>8</v>
      </c>
      <c r="D28" s="19">
        <v>6</v>
      </c>
      <c r="E28" s="19">
        <v>160</v>
      </c>
    </row>
    <row r="29" spans="1:9" s="4" customFormat="1">
      <c r="A29" s="28">
        <f>A6</f>
        <v>41310</v>
      </c>
      <c r="B29" s="19" t="s">
        <v>21</v>
      </c>
      <c r="C29" s="19">
        <v>31</v>
      </c>
      <c r="D29" s="115">
        <v>3</v>
      </c>
      <c r="E29" s="19"/>
    </row>
    <row r="30" spans="1:9" s="4" customFormat="1">
      <c r="A30" s="30">
        <f>A6</f>
        <v>41310</v>
      </c>
      <c r="B30" s="20" t="s">
        <v>14</v>
      </c>
      <c r="C30" s="20">
        <v>3</v>
      </c>
      <c r="D30" s="20">
        <v>1</v>
      </c>
      <c r="E30" s="31">
        <v>117</v>
      </c>
    </row>
    <row r="31" spans="1:9" s="4" customFormat="1">
      <c r="A31" s="28">
        <f>A8</f>
        <v>41311</v>
      </c>
      <c r="B31" s="19" t="s">
        <v>15</v>
      </c>
      <c r="C31" s="19">
        <v>11</v>
      </c>
      <c r="D31" s="19">
        <v>6</v>
      </c>
      <c r="E31" s="29">
        <v>113</v>
      </c>
    </row>
    <row r="32" spans="1:9" s="4" customFormat="1">
      <c r="A32" s="28">
        <f>A9</f>
        <v>41312</v>
      </c>
      <c r="B32" s="19" t="s">
        <v>6</v>
      </c>
      <c r="C32" s="19">
        <v>101</v>
      </c>
      <c r="D32" s="115">
        <v>12</v>
      </c>
      <c r="E32" s="29">
        <v>234</v>
      </c>
    </row>
    <row r="33" spans="1:21" s="4" customFormat="1" ht="13.5" thickBot="1">
      <c r="A33" s="28">
        <f>A10</f>
        <v>41313</v>
      </c>
      <c r="B33" s="19" t="s">
        <v>10</v>
      </c>
      <c r="C33" s="19">
        <v>25</v>
      </c>
      <c r="D33" s="19">
        <v>4</v>
      </c>
      <c r="E33" s="29">
        <v>159</v>
      </c>
    </row>
    <row r="34" spans="1:21" s="90" customFormat="1" ht="13.5" thickBot="1">
      <c r="A34" s="88" t="str">
        <f>A11</f>
        <v>Week 3 Total</v>
      </c>
      <c r="B34" s="89"/>
      <c r="C34" s="89">
        <f>SUM(C28:C33)</f>
        <v>179</v>
      </c>
      <c r="D34" s="89">
        <f>SUM(D28:D33)</f>
        <v>32</v>
      </c>
      <c r="E34" s="89">
        <f>SUM(E28:E33)</f>
        <v>783</v>
      </c>
    </row>
    <row r="35" spans="1:21" s="4" customFormat="1">
      <c r="A35"/>
      <c r="B35"/>
      <c r="C35"/>
      <c r="D35"/>
      <c r="E35"/>
    </row>
    <row r="36" spans="1:21" ht="26.25">
      <c r="A36" s="142">
        <f>A1</f>
        <v>41315</v>
      </c>
      <c r="B36" s="142"/>
      <c r="C36" s="142"/>
      <c r="D36" s="142"/>
      <c r="E36" s="142"/>
      <c r="F36" s="142"/>
      <c r="G36" s="142"/>
      <c r="H36" s="142"/>
      <c r="I36" s="142"/>
      <c r="J36" s="142"/>
      <c r="K36" s="142"/>
      <c r="L36" s="142"/>
      <c r="M36" s="142"/>
      <c r="N36" s="142"/>
      <c r="O36" s="142"/>
      <c r="P36" s="142"/>
      <c r="Q36" s="142"/>
      <c r="R36" s="142"/>
      <c r="S36" s="142"/>
      <c r="T36" s="142"/>
      <c r="U36" s="142"/>
    </row>
    <row r="37" spans="1:21" ht="13.5" thickBot="1"/>
    <row r="38" spans="1:21" ht="21" thickBot="1">
      <c r="A38" s="139" t="s">
        <v>12</v>
      </c>
      <c r="B38" s="140"/>
      <c r="C38" s="140"/>
      <c r="D38" s="140"/>
      <c r="E38" s="140"/>
      <c r="F38" s="140"/>
      <c r="G38" s="140"/>
      <c r="H38" s="140"/>
      <c r="I38" s="140"/>
      <c r="J38" s="140"/>
      <c r="K38" s="140"/>
      <c r="L38" s="140"/>
      <c r="M38" s="140"/>
      <c r="N38" s="140"/>
      <c r="O38" s="140"/>
      <c r="P38" s="140"/>
      <c r="Q38" s="140"/>
      <c r="R38" s="140"/>
      <c r="S38" s="140"/>
      <c r="T38" s="140"/>
      <c r="U38" s="141"/>
    </row>
    <row r="39" spans="1:21" s="1" customFormat="1" ht="80.25" customHeight="1" thickBot="1">
      <c r="A39" s="40" t="s">
        <v>0</v>
      </c>
      <c r="B39" s="41" t="s">
        <v>13</v>
      </c>
      <c r="C39" s="41" t="s">
        <v>14</v>
      </c>
      <c r="D39" s="41" t="s">
        <v>15</v>
      </c>
      <c r="E39" s="41" t="s">
        <v>16</v>
      </c>
      <c r="F39" s="41" t="s">
        <v>9</v>
      </c>
      <c r="G39" s="41" t="s">
        <v>10</v>
      </c>
      <c r="H39" s="41" t="s">
        <v>5</v>
      </c>
      <c r="I39" s="41" t="s">
        <v>3</v>
      </c>
      <c r="J39" s="41" t="s">
        <v>4</v>
      </c>
      <c r="K39" s="41" t="s">
        <v>17</v>
      </c>
      <c r="L39" s="41" t="s">
        <v>7</v>
      </c>
      <c r="M39" s="41" t="s">
        <v>11</v>
      </c>
      <c r="N39" s="41" t="s">
        <v>18</v>
      </c>
      <c r="O39" s="41" t="s">
        <v>6</v>
      </c>
      <c r="P39" s="41" t="s">
        <v>19</v>
      </c>
      <c r="Q39" s="41" t="s">
        <v>20</v>
      </c>
      <c r="R39" s="41" t="s">
        <v>21</v>
      </c>
      <c r="S39" s="41" t="s">
        <v>22</v>
      </c>
      <c r="T39" s="41" t="s">
        <v>43</v>
      </c>
      <c r="U39" s="42" t="s">
        <v>44</v>
      </c>
    </row>
    <row r="40" spans="1:21" s="21" customFormat="1">
      <c r="A40" s="37">
        <f>A5</f>
        <v>41309</v>
      </c>
      <c r="B40" s="38">
        <v>3</v>
      </c>
      <c r="C40" s="38">
        <v>0</v>
      </c>
      <c r="D40" s="38">
        <v>0</v>
      </c>
      <c r="E40" s="38">
        <v>0</v>
      </c>
      <c r="F40" s="38">
        <v>1</v>
      </c>
      <c r="G40" s="38">
        <v>0</v>
      </c>
      <c r="H40" s="38">
        <v>0</v>
      </c>
      <c r="I40" s="38">
        <v>0</v>
      </c>
      <c r="J40" s="38">
        <v>0</v>
      </c>
      <c r="K40" s="38">
        <v>2</v>
      </c>
      <c r="L40" s="38">
        <v>3</v>
      </c>
      <c r="M40" s="38">
        <v>5</v>
      </c>
      <c r="N40" s="38">
        <v>4</v>
      </c>
      <c r="O40" s="38">
        <v>1</v>
      </c>
      <c r="P40" s="38">
        <v>1</v>
      </c>
      <c r="Q40" s="38">
        <v>4</v>
      </c>
      <c r="R40" s="38">
        <v>1</v>
      </c>
      <c r="S40" s="38">
        <v>1</v>
      </c>
      <c r="T40" s="38">
        <v>36</v>
      </c>
      <c r="U40" s="39">
        <f>SUM(Table10136[[#This Row],[1'#]:[Minpro]])</f>
        <v>62</v>
      </c>
    </row>
    <row r="41" spans="1:21" s="21" customFormat="1">
      <c r="A41" s="16">
        <f>A6</f>
        <v>41310</v>
      </c>
      <c r="B41" s="22">
        <v>4</v>
      </c>
      <c r="C41" s="22">
        <v>0</v>
      </c>
      <c r="D41" s="22">
        <v>3</v>
      </c>
      <c r="E41" s="22">
        <v>0</v>
      </c>
      <c r="F41" s="22">
        <v>1</v>
      </c>
      <c r="G41" s="22">
        <v>0</v>
      </c>
      <c r="H41" s="22">
        <v>0</v>
      </c>
      <c r="I41" s="22">
        <v>0</v>
      </c>
      <c r="J41" s="22">
        <v>0</v>
      </c>
      <c r="K41" s="22">
        <v>2</v>
      </c>
      <c r="L41" s="22">
        <v>1</v>
      </c>
      <c r="M41" s="22">
        <v>2</v>
      </c>
      <c r="N41" s="22">
        <v>3</v>
      </c>
      <c r="O41" s="22">
        <v>2</v>
      </c>
      <c r="P41" s="22">
        <v>0</v>
      </c>
      <c r="Q41" s="22">
        <v>4</v>
      </c>
      <c r="R41" s="22">
        <v>3</v>
      </c>
      <c r="S41" s="22">
        <v>2</v>
      </c>
      <c r="T41" s="22">
        <v>9</v>
      </c>
      <c r="U41" s="23">
        <f>SUM(Table10136[[#This Row],[1'#]:[Minpro]])</f>
        <v>36</v>
      </c>
    </row>
    <row r="42" spans="1:21" s="21" customFormat="1">
      <c r="A42" s="16">
        <f>A8</f>
        <v>41311</v>
      </c>
      <c r="B42" s="22">
        <v>0</v>
      </c>
      <c r="C42" s="22">
        <v>3</v>
      </c>
      <c r="D42" s="22">
        <v>0</v>
      </c>
      <c r="E42" s="22">
        <v>1</v>
      </c>
      <c r="F42" s="22">
        <v>0</v>
      </c>
      <c r="G42" s="22">
        <v>0</v>
      </c>
      <c r="H42" s="22">
        <v>1</v>
      </c>
      <c r="I42" s="22">
        <v>0</v>
      </c>
      <c r="J42" s="22">
        <v>2</v>
      </c>
      <c r="K42" s="22">
        <v>0</v>
      </c>
      <c r="L42" s="22">
        <v>4</v>
      </c>
      <c r="M42" s="22">
        <v>4</v>
      </c>
      <c r="N42" s="22">
        <v>3</v>
      </c>
      <c r="O42" s="22">
        <v>3</v>
      </c>
      <c r="P42" s="22">
        <v>5</v>
      </c>
      <c r="Q42" s="22">
        <v>0</v>
      </c>
      <c r="R42" s="22">
        <v>1</v>
      </c>
      <c r="S42" s="22">
        <v>0</v>
      </c>
      <c r="T42" s="22">
        <v>2</v>
      </c>
      <c r="U42" s="23">
        <f>SUM(Table10136[[#This Row],[1'#]:[Minpro]])</f>
        <v>29</v>
      </c>
    </row>
    <row r="43" spans="1:21" s="21" customFormat="1">
      <c r="A43" s="16">
        <f>A9</f>
        <v>41312</v>
      </c>
      <c r="B43" s="22">
        <v>0</v>
      </c>
      <c r="C43" s="22">
        <v>1</v>
      </c>
      <c r="D43" s="22">
        <v>0</v>
      </c>
      <c r="E43" s="22">
        <v>0</v>
      </c>
      <c r="F43" s="22">
        <v>0</v>
      </c>
      <c r="G43" s="22">
        <v>0</v>
      </c>
      <c r="H43" s="22">
        <v>1</v>
      </c>
      <c r="I43" s="22">
        <v>0</v>
      </c>
      <c r="J43" s="22">
        <v>2</v>
      </c>
      <c r="K43" s="22">
        <v>4</v>
      </c>
      <c r="L43" s="22">
        <v>4</v>
      </c>
      <c r="M43" s="22">
        <v>2</v>
      </c>
      <c r="N43" s="22">
        <v>6</v>
      </c>
      <c r="O43" s="22">
        <v>1</v>
      </c>
      <c r="P43" s="22">
        <v>0</v>
      </c>
      <c r="Q43" s="22">
        <v>2</v>
      </c>
      <c r="R43" s="22">
        <v>4</v>
      </c>
      <c r="S43" s="22">
        <v>0</v>
      </c>
      <c r="T43" s="22">
        <v>14</v>
      </c>
      <c r="U43" s="23">
        <f>SUM(Table10136[[#This Row],[1'#]:[Minpro]])</f>
        <v>41</v>
      </c>
    </row>
    <row r="44" spans="1:21" s="21" customFormat="1" ht="13.5" thickBot="1">
      <c r="A44" s="24">
        <f>A10</f>
        <v>41313</v>
      </c>
      <c r="B44" s="25">
        <v>3</v>
      </c>
      <c r="C44" s="25">
        <v>0</v>
      </c>
      <c r="D44" s="25">
        <v>0</v>
      </c>
      <c r="E44" s="25">
        <v>0</v>
      </c>
      <c r="F44" s="25">
        <v>7</v>
      </c>
      <c r="G44" s="25">
        <v>0</v>
      </c>
      <c r="H44" s="25">
        <v>0</v>
      </c>
      <c r="I44" s="25">
        <v>0</v>
      </c>
      <c r="J44" s="25">
        <v>2</v>
      </c>
      <c r="K44" s="25">
        <v>1</v>
      </c>
      <c r="L44" s="25">
        <v>1</v>
      </c>
      <c r="M44" s="25">
        <v>1</v>
      </c>
      <c r="N44" s="25">
        <v>5</v>
      </c>
      <c r="O44" s="25">
        <v>3</v>
      </c>
      <c r="P44" s="25">
        <v>1</v>
      </c>
      <c r="Q44" s="25">
        <v>1</v>
      </c>
      <c r="R44" s="25">
        <v>3</v>
      </c>
      <c r="S44" s="25">
        <v>0</v>
      </c>
      <c r="T44" s="25">
        <v>10</v>
      </c>
      <c r="U44" s="23">
        <f>SUM(Table10136[[#This Row],[1'#]:[Minpro]])</f>
        <v>38</v>
      </c>
    </row>
    <row r="45" spans="1:21" s="87" customFormat="1" ht="13.5" thickBot="1">
      <c r="A45" s="85" t="str">
        <f>A11</f>
        <v>Week 3 Total</v>
      </c>
      <c r="B45" s="86">
        <f>SUM(B40:B44)</f>
        <v>10</v>
      </c>
      <c r="C45" s="86">
        <f t="shared" ref="C45:U45" si="2">SUM(C40:C44)</f>
        <v>4</v>
      </c>
      <c r="D45" s="86">
        <f t="shared" si="2"/>
        <v>3</v>
      </c>
      <c r="E45" s="86">
        <f t="shared" si="2"/>
        <v>1</v>
      </c>
      <c r="F45" s="86">
        <f t="shared" si="2"/>
        <v>9</v>
      </c>
      <c r="G45" s="86">
        <f t="shared" si="2"/>
        <v>0</v>
      </c>
      <c r="H45" s="86">
        <f t="shared" si="2"/>
        <v>2</v>
      </c>
      <c r="I45" s="86">
        <f t="shared" si="2"/>
        <v>0</v>
      </c>
      <c r="J45" s="86">
        <f t="shared" si="2"/>
        <v>6</v>
      </c>
      <c r="K45" s="86">
        <f t="shared" si="2"/>
        <v>9</v>
      </c>
      <c r="L45" s="86">
        <f t="shared" si="2"/>
        <v>13</v>
      </c>
      <c r="M45" s="86">
        <f t="shared" si="2"/>
        <v>14</v>
      </c>
      <c r="N45" s="86">
        <f t="shared" si="2"/>
        <v>21</v>
      </c>
      <c r="O45" s="86">
        <f t="shared" si="2"/>
        <v>10</v>
      </c>
      <c r="P45" s="86">
        <f t="shared" si="2"/>
        <v>7</v>
      </c>
      <c r="Q45" s="86">
        <f t="shared" si="2"/>
        <v>11</v>
      </c>
      <c r="R45" s="86">
        <f t="shared" si="2"/>
        <v>12</v>
      </c>
      <c r="S45" s="86">
        <f t="shared" si="2"/>
        <v>3</v>
      </c>
      <c r="T45" s="86">
        <f t="shared" si="2"/>
        <v>71</v>
      </c>
      <c r="U45" s="86">
        <f t="shared" si="2"/>
        <v>206</v>
      </c>
    </row>
    <row r="46" spans="1:21" s="21" customFormat="1" ht="26.25">
      <c r="A46" s="134">
        <f>A1</f>
        <v>41315</v>
      </c>
      <c r="B46" s="134"/>
      <c r="C46" s="134"/>
      <c r="D46" s="134"/>
      <c r="E46" s="134"/>
      <c r="F46" s="134"/>
      <c r="G46" s="134"/>
      <c r="H46" s="134"/>
      <c r="I46" s="134"/>
      <c r="J46" s="134"/>
      <c r="K46"/>
      <c r="L46"/>
      <c r="M46"/>
      <c r="N46"/>
      <c r="O46"/>
      <c r="P46"/>
      <c r="Q46"/>
      <c r="R46"/>
      <c r="S46"/>
      <c r="T46"/>
      <c r="U46"/>
    </row>
    <row r="47" spans="1:21" ht="13.5" thickBot="1"/>
    <row r="48" spans="1:21" ht="21" thickBot="1">
      <c r="A48" s="136" t="s">
        <v>52</v>
      </c>
      <c r="B48" s="137"/>
      <c r="C48" s="137"/>
      <c r="D48" s="137"/>
      <c r="E48" s="137"/>
      <c r="F48" s="137"/>
      <c r="G48" s="137"/>
      <c r="H48" s="137"/>
      <c r="I48" s="137"/>
      <c r="J48" s="138"/>
    </row>
    <row r="49" spans="1:21" ht="51.75" thickBot="1">
      <c r="A49" s="40" t="s">
        <v>0</v>
      </c>
      <c r="B49" s="41" t="s">
        <v>24</v>
      </c>
      <c r="C49" s="41" t="s">
        <v>48</v>
      </c>
      <c r="D49" s="41" t="s">
        <v>25</v>
      </c>
      <c r="E49" s="41" t="s">
        <v>49</v>
      </c>
      <c r="F49" s="41" t="s">
        <v>45</v>
      </c>
      <c r="G49" s="41" t="s">
        <v>50</v>
      </c>
      <c r="H49" s="41" t="s">
        <v>46</v>
      </c>
      <c r="I49" s="41" t="s">
        <v>51</v>
      </c>
      <c r="J49" s="42" t="s">
        <v>47</v>
      </c>
      <c r="K49" s="1"/>
      <c r="L49" s="1"/>
      <c r="M49" s="1"/>
      <c r="N49" s="1"/>
      <c r="O49" s="1"/>
      <c r="P49" s="1"/>
      <c r="Q49" s="1"/>
      <c r="R49" s="1"/>
      <c r="S49" s="1"/>
      <c r="T49" s="1"/>
      <c r="U49" s="1"/>
    </row>
    <row r="50" spans="1:21" s="1" customFormat="1">
      <c r="A50" s="3">
        <f>A5</f>
        <v>41309</v>
      </c>
      <c r="B50" s="10">
        <v>48</v>
      </c>
      <c r="C50" s="44">
        <f>Table11137[[#This Row],[Contractors]]/U40</f>
        <v>0.77419354838709675</v>
      </c>
      <c r="D50" s="10">
        <v>1</v>
      </c>
      <c r="E50" s="44">
        <f>Table11137[[#This Row],[New Recruits]]/U40</f>
        <v>1.6129032258064516E-2</v>
      </c>
      <c r="F50" s="10">
        <v>9</v>
      </c>
      <c r="G50" s="44">
        <f>Table11137[[#This Row],[2 Year Claims]]/U40</f>
        <v>0.14516129032258066</v>
      </c>
      <c r="H50" s="10">
        <v>0</v>
      </c>
      <c r="I50" s="44">
        <f>Table11137[[#This Row],[5 Year Claim]]/U40</f>
        <v>0</v>
      </c>
      <c r="J50" s="11">
        <v>11</v>
      </c>
      <c r="K50"/>
      <c r="L50"/>
      <c r="M50"/>
      <c r="N50"/>
      <c r="O50"/>
      <c r="P50"/>
      <c r="Q50"/>
      <c r="R50"/>
      <c r="S50"/>
      <c r="T50"/>
      <c r="U50"/>
    </row>
    <row r="51" spans="1:21">
      <c r="A51" s="2">
        <f>A6</f>
        <v>41310</v>
      </c>
      <c r="B51" s="9">
        <v>11</v>
      </c>
      <c r="C51" s="13">
        <f>Table11137[[#This Row],[Contractors]]/U41</f>
        <v>0.30555555555555558</v>
      </c>
      <c r="D51" s="9">
        <v>1</v>
      </c>
      <c r="E51" s="13">
        <f>Table11137[[#This Row],[New Recruits]]/U41</f>
        <v>2.7777777777777776E-2</v>
      </c>
      <c r="F51" s="9">
        <v>16</v>
      </c>
      <c r="G51" s="13">
        <f>Table11137[[#This Row],[2 Year Claims]]/U41</f>
        <v>0.44444444444444442</v>
      </c>
      <c r="H51" s="9">
        <v>0</v>
      </c>
      <c r="I51" s="13">
        <f>Table11137[[#This Row],[5 Year Claim]]/U41</f>
        <v>0</v>
      </c>
      <c r="J51" s="110">
        <v>6</v>
      </c>
    </row>
    <row r="52" spans="1:21">
      <c r="A52" s="2">
        <f>A8</f>
        <v>41311</v>
      </c>
      <c r="B52" s="9">
        <v>14</v>
      </c>
      <c r="C52" s="13">
        <f>Table11137[[#This Row],[Contractors]]/U42</f>
        <v>0.48275862068965519</v>
      </c>
      <c r="D52" s="9">
        <v>0</v>
      </c>
      <c r="E52" s="13">
        <f>Table11137[[#This Row],[New Recruits]]/U42</f>
        <v>0</v>
      </c>
      <c r="F52" s="9">
        <v>14</v>
      </c>
      <c r="G52" s="13">
        <f>Table11137[[#This Row],[2 Year Claims]]/U42</f>
        <v>0.48275862068965519</v>
      </c>
      <c r="H52" s="9">
        <v>0</v>
      </c>
      <c r="I52" s="13">
        <f>Table11137[[#This Row],[5 Year Claim]]/U42</f>
        <v>0</v>
      </c>
      <c r="J52" s="110">
        <v>5</v>
      </c>
    </row>
    <row r="53" spans="1:21">
      <c r="A53" s="2">
        <f>A9</f>
        <v>41312</v>
      </c>
      <c r="B53" s="9">
        <v>26</v>
      </c>
      <c r="C53" s="13">
        <f>Table11137[[#This Row],[Contractors]]/U43</f>
        <v>0.63414634146341464</v>
      </c>
      <c r="D53" s="9">
        <v>1</v>
      </c>
      <c r="E53" s="13">
        <f>Table11137[[#This Row],[New Recruits]]/U43</f>
        <v>2.4390243902439025E-2</v>
      </c>
      <c r="F53" s="9">
        <v>15</v>
      </c>
      <c r="G53" s="13">
        <f>Table11137[[#This Row],[2 Year Claims]]/U43</f>
        <v>0.36585365853658536</v>
      </c>
      <c r="H53" s="9">
        <v>0</v>
      </c>
      <c r="I53" s="13">
        <f>Table11137[[#This Row],[5 Year Claim]]/U43</f>
        <v>0</v>
      </c>
      <c r="J53" s="110">
        <v>3</v>
      </c>
    </row>
    <row r="54" spans="1:21" ht="13.5" thickBot="1">
      <c r="A54" s="5">
        <f>A10</f>
        <v>41313</v>
      </c>
      <c r="B54" s="15">
        <v>16</v>
      </c>
      <c r="C54" s="13">
        <f>Table11137[[#This Row],[Contractors]]/U44</f>
        <v>0.42105263157894735</v>
      </c>
      <c r="D54" s="15">
        <v>7</v>
      </c>
      <c r="E54" s="13">
        <f>Table11137[[#This Row],[New Recruits]]/U44</f>
        <v>0.18421052631578946</v>
      </c>
      <c r="F54" s="15">
        <v>14</v>
      </c>
      <c r="G54" s="13">
        <f>Table11137[[#This Row],[2 Year Claims]]/U44</f>
        <v>0.36842105263157893</v>
      </c>
      <c r="H54" s="15">
        <v>0</v>
      </c>
      <c r="I54" s="13">
        <f>Table11137[[#This Row],[5 Year Claim]]/U44</f>
        <v>0</v>
      </c>
      <c r="J54" s="111">
        <v>4</v>
      </c>
    </row>
    <row r="55" spans="1:21" ht="13.5" thickBot="1">
      <c r="A55" s="84" t="str">
        <f>A11</f>
        <v>Week 3 Total</v>
      </c>
      <c r="B55" s="112">
        <f>SUM(B50:B54)</f>
        <v>115</v>
      </c>
      <c r="C55" s="113">
        <f>AVERAGE(C50:C54)</f>
        <v>0.52354133953493398</v>
      </c>
      <c r="D55" s="112">
        <f>SUM(D50:D54)</f>
        <v>10</v>
      </c>
      <c r="E55" s="113">
        <f>AVERAGE(E50:E54)</f>
        <v>5.0501516050814155E-2</v>
      </c>
      <c r="F55" s="112">
        <f>SUM(F50:F54)</f>
        <v>68</v>
      </c>
      <c r="G55" s="113">
        <f>AVERAGE(G50:G54)</f>
        <v>0.36132781332496894</v>
      </c>
      <c r="H55" s="112">
        <f>SUM(H50:H54)</f>
        <v>0</v>
      </c>
      <c r="I55" s="113">
        <f>AVERAGE(I50:I54)</f>
        <v>0</v>
      </c>
      <c r="J55" s="112">
        <f>SUM(J50:J54)</f>
        <v>29</v>
      </c>
    </row>
    <row r="56" spans="1:21" ht="26.25">
      <c r="A56" s="134"/>
      <c r="B56" s="135"/>
    </row>
    <row r="57" spans="1:21">
      <c r="A57" s="101"/>
      <c r="B57" s="101"/>
    </row>
  </sheetData>
  <mergeCells count="11">
    <mergeCell ref="A56:B56"/>
    <mergeCell ref="A48:J48"/>
    <mergeCell ref="A36:U36"/>
    <mergeCell ref="A1:H1"/>
    <mergeCell ref="A3:H3"/>
    <mergeCell ref="A46:J46"/>
    <mergeCell ref="A13:I13"/>
    <mergeCell ref="A15:I15"/>
    <mergeCell ref="A24:E24"/>
    <mergeCell ref="A26:E26"/>
    <mergeCell ref="A38:U38"/>
  </mergeCells>
  <phoneticPr fontId="1" type="noConversion"/>
  <conditionalFormatting sqref="D28:D29">
    <cfRule type="cellIs" dxfId="560" priority="25" operator="greaterThan">
      <formula>$C$28</formula>
    </cfRule>
  </conditionalFormatting>
  <conditionalFormatting sqref="D30">
    <cfRule type="cellIs" dxfId="559" priority="21" operator="greaterThan">
      <formula>$C$30</formula>
    </cfRule>
  </conditionalFormatting>
  <conditionalFormatting sqref="D31:D32">
    <cfRule type="cellIs" dxfId="558" priority="17" operator="greaterThan">
      <formula>$C$31</formula>
    </cfRule>
  </conditionalFormatting>
  <conditionalFormatting sqref="D33">
    <cfRule type="cellIs" dxfId="557" priority="7" operator="greaterThan">
      <formula>$C$33</formula>
    </cfRule>
  </conditionalFormatting>
  <conditionalFormatting sqref="F5:F11">
    <cfRule type="cellIs" dxfId="556" priority="1" operator="lessThan">
      <formula>0.7</formula>
    </cfRule>
    <cfRule type="cellIs" dxfId="555" priority="2" operator="greaterThan">
      <formula>0.7</formula>
    </cfRule>
  </conditionalFormatting>
  <pageMargins left="0.15748031496062992" right="0.15748031496062992" top="0.39370078740157483" bottom="0.39370078740157483" header="0.51181102362204722" footer="0.51181102362204722"/>
  <pageSetup paperSize="9" orientation="landscape" verticalDpi="0" r:id="rId1"/>
  <headerFooter alignWithMargins="0"/>
  <legacy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dimension ref="A1"/>
  <sheetViews>
    <sheetView topLeftCell="A121" zoomScale="75" workbookViewId="0">
      <selection activeCell="A73" sqref="A1:XFD1048576"/>
    </sheetView>
  </sheetViews>
  <sheetFormatPr defaultRowHeight="12.75"/>
  <sheetData/>
  <phoneticPr fontId="1" type="noConversion"/>
  <pageMargins left="0.15748031496062992" right="0.15748031496062992" top="0.39370078740157483" bottom="0.39370078740157483" header="0.51181102362204722" footer="0.51181102362204722"/>
  <pageSetup paperSize="9" orientation="landscape" verticalDpi="0" r:id="rId1"/>
  <headerFooter alignWithMargins="0"/>
  <drawing r:id="rId2"/>
</worksheet>
</file>

<file path=xl/worksheets/sheet7.xml><?xml version="1.0" encoding="utf-8"?>
<worksheet xmlns="http://schemas.openxmlformats.org/spreadsheetml/2006/main" xmlns:r="http://schemas.openxmlformats.org/officeDocument/2006/relationships">
  <dimension ref="A1:U66"/>
  <sheetViews>
    <sheetView topLeftCell="A55" zoomScaleNormal="100" workbookViewId="0">
      <selection activeCell="J65" sqref="J65"/>
    </sheetView>
  </sheetViews>
  <sheetFormatPr defaultRowHeight="12.75"/>
  <cols>
    <col min="1" max="1" width="15.7109375" customWidth="1"/>
    <col min="2" max="10" width="13.7109375" customWidth="1"/>
    <col min="11" max="21" width="8.85546875" customWidth="1"/>
  </cols>
  <sheetData>
    <row r="1" spans="1:8" ht="26.25">
      <c r="A1" s="143">
        <v>41322</v>
      </c>
      <c r="B1" s="143"/>
      <c r="C1" s="143"/>
      <c r="D1" s="143"/>
      <c r="E1" s="143"/>
      <c r="F1" s="143"/>
      <c r="G1" s="143"/>
      <c r="H1" s="143"/>
    </row>
    <row r="2" spans="1:8" ht="13.5" thickBot="1"/>
    <row r="3" spans="1:8" ht="21" thickBot="1">
      <c r="A3" s="147" t="s">
        <v>2</v>
      </c>
      <c r="B3" s="148"/>
      <c r="C3" s="148"/>
      <c r="D3" s="148"/>
      <c r="E3" s="148"/>
      <c r="F3" s="148"/>
      <c r="G3" s="148"/>
      <c r="H3" s="149"/>
    </row>
    <row r="4" spans="1:8" s="1" customFormat="1" ht="80.25" customHeight="1" thickBot="1">
      <c r="A4" s="40" t="s">
        <v>0</v>
      </c>
      <c r="B4" s="41" t="s">
        <v>1</v>
      </c>
      <c r="C4" s="41" t="s">
        <v>26</v>
      </c>
      <c r="D4" s="41" t="s">
        <v>27</v>
      </c>
      <c r="E4" s="41" t="s">
        <v>28</v>
      </c>
      <c r="F4" s="41" t="s">
        <v>29</v>
      </c>
      <c r="G4" s="41" t="s">
        <v>30</v>
      </c>
      <c r="H4" s="42" t="s">
        <v>31</v>
      </c>
    </row>
    <row r="5" spans="1:8">
      <c r="A5" s="100">
        <v>41316</v>
      </c>
      <c r="B5" s="10" t="s">
        <v>4</v>
      </c>
      <c r="C5" s="10">
        <v>33</v>
      </c>
      <c r="D5" s="10">
        <v>12</v>
      </c>
      <c r="E5" s="10">
        <v>16</v>
      </c>
      <c r="F5" s="44">
        <f>Table3138[[#This Row],[Quantity Fitted at Shaft/Area]]/Table3138[[#This Row],[Quantity Paraded]]</f>
        <v>1.3333333333333333</v>
      </c>
      <c r="G5" s="10">
        <v>10</v>
      </c>
      <c r="H5" s="12">
        <f>Table3138[[#This Row],[Quantity Fitted at Shaft/Area]]+Table3138[[#This Row],[Quantity Fitted at NC Office]]</f>
        <v>26</v>
      </c>
    </row>
    <row r="6" spans="1:8">
      <c r="A6" s="52">
        <f>A5+1</f>
        <v>41317</v>
      </c>
      <c r="B6" s="53" t="s">
        <v>13</v>
      </c>
      <c r="C6" s="53">
        <v>97</v>
      </c>
      <c r="D6" s="53">
        <v>51</v>
      </c>
      <c r="E6" s="53">
        <v>25</v>
      </c>
      <c r="F6" s="54">
        <f>Table3138[[#This Row],[Quantity Fitted at Shaft/Area]]/Table3138[[#This Row],[Quantity Paraded]]</f>
        <v>0.49019607843137253</v>
      </c>
      <c r="G6" s="53">
        <v>9</v>
      </c>
      <c r="H6" s="14">
        <f>Table3138[[#This Row],[Quantity Fitted at Shaft/Area]]+Table3138[[#This Row],[Quantity Fitted at NC Office]]</f>
        <v>34</v>
      </c>
    </row>
    <row r="7" spans="1:8">
      <c r="A7" s="17">
        <f>A5+1</f>
        <v>41317</v>
      </c>
      <c r="B7" s="9" t="s">
        <v>11</v>
      </c>
      <c r="C7" s="9">
        <v>82</v>
      </c>
      <c r="D7" s="9">
        <v>68</v>
      </c>
      <c r="E7" s="9">
        <v>12</v>
      </c>
      <c r="F7" s="44">
        <f>Table3138[[#This Row],[Quantity Fitted at Shaft/Area]]/Table3138[[#This Row],[Quantity Paraded]]</f>
        <v>0.17647058823529413</v>
      </c>
      <c r="G7" s="9"/>
      <c r="H7" s="14">
        <f>Table3138[[#This Row],[Quantity Fitted at Shaft/Area]]+Table3138[[#This Row],[Quantity Fitted at NC Office]]</f>
        <v>12</v>
      </c>
    </row>
    <row r="8" spans="1:8">
      <c r="A8" s="17">
        <f>A5+2</f>
        <v>41318</v>
      </c>
      <c r="B8" s="9" t="s">
        <v>7</v>
      </c>
      <c r="C8" s="9">
        <v>107</v>
      </c>
      <c r="D8" s="9">
        <v>62</v>
      </c>
      <c r="E8" s="9">
        <v>34</v>
      </c>
      <c r="F8" s="44">
        <f>Table3138[[#This Row],[Quantity Fitted at Shaft/Area]]/Table3138[[#This Row],[Quantity Paraded]]</f>
        <v>0.54838709677419351</v>
      </c>
      <c r="G8" s="9">
        <v>7</v>
      </c>
      <c r="H8" s="14">
        <f>Table3138[[#This Row],[Quantity Fitted at Shaft/Area]]+Table3138[[#This Row],[Quantity Fitted at NC Office]]</f>
        <v>41</v>
      </c>
    </row>
    <row r="9" spans="1:8">
      <c r="A9" s="49">
        <f>A5+2</f>
        <v>41318</v>
      </c>
      <c r="B9" s="50" t="s">
        <v>19</v>
      </c>
      <c r="C9" s="50">
        <v>75</v>
      </c>
      <c r="D9" s="50">
        <v>56</v>
      </c>
      <c r="E9" s="50">
        <v>32</v>
      </c>
      <c r="F9" s="48">
        <f>Table3138[[#This Row],[Quantity Fitted at Shaft/Area]]/Table3138[[#This Row],[Quantity Paraded]]</f>
        <v>0.5714285714285714</v>
      </c>
      <c r="G9" s="50"/>
      <c r="H9" s="14">
        <f>Table3138[[#This Row],[Quantity Fitted at Shaft/Area]]+Table3138[[#This Row],[Quantity Fitted at NC Office]]</f>
        <v>32</v>
      </c>
    </row>
    <row r="10" spans="1:8">
      <c r="A10" s="52">
        <f>A5+3</f>
        <v>41319</v>
      </c>
      <c r="B10" s="50" t="s">
        <v>20</v>
      </c>
      <c r="C10" s="50">
        <v>54</v>
      </c>
      <c r="D10" s="50">
        <v>30</v>
      </c>
      <c r="E10" s="50">
        <v>12</v>
      </c>
      <c r="F10" s="48">
        <f>Table3138[[#This Row],[Quantity Fitted at Shaft/Area]]/Table3138[[#This Row],[Quantity Paraded]]</f>
        <v>0.4</v>
      </c>
      <c r="G10" s="50">
        <v>8</v>
      </c>
      <c r="H10" s="14">
        <f>Table3138[[#This Row],[Quantity Fitted at Shaft/Area]]+Table3138[[#This Row],[Quantity Fitted at NC Office]]</f>
        <v>20</v>
      </c>
    </row>
    <row r="11" spans="1:8">
      <c r="A11" s="52">
        <f>A5+3</f>
        <v>41319</v>
      </c>
      <c r="B11" s="53" t="s">
        <v>22</v>
      </c>
      <c r="C11" s="53">
        <v>18</v>
      </c>
      <c r="D11" s="53">
        <v>13</v>
      </c>
      <c r="E11" s="53">
        <v>8</v>
      </c>
      <c r="F11" s="54">
        <f>Table3138[[#This Row],[Quantity Fitted at Shaft/Area]]/Table3138[[#This Row],[Quantity Paraded]]</f>
        <v>0.61538461538461542</v>
      </c>
      <c r="G11" s="53"/>
      <c r="H11" s="14">
        <f>Table3138[[#This Row],[Quantity Fitted at Shaft/Area]]+Table3138[[#This Row],[Quantity Fitted at NC Office]]</f>
        <v>8</v>
      </c>
    </row>
    <row r="12" spans="1:8">
      <c r="A12" s="52">
        <f>A6+3</f>
        <v>41320</v>
      </c>
      <c r="B12" s="53" t="s">
        <v>21</v>
      </c>
      <c r="C12" s="53">
        <v>127</v>
      </c>
      <c r="D12" s="53">
        <v>67</v>
      </c>
      <c r="E12" s="53">
        <v>36</v>
      </c>
      <c r="F12" s="54">
        <f>Table3138[[#This Row],[Quantity Fitted at Shaft/Area]]/Table3138[[#This Row],[Quantity Paraded]]</f>
        <v>0.53731343283582089</v>
      </c>
      <c r="G12" s="53"/>
      <c r="H12" s="14">
        <f>Table3138[[#This Row],[Quantity Fitted at Shaft/Area]]+Table3138[[#This Row],[Quantity Fitted at NC Office]]</f>
        <v>36</v>
      </c>
    </row>
    <row r="13" spans="1:8">
      <c r="A13" s="52">
        <f>A7+3</f>
        <v>41320</v>
      </c>
      <c r="B13" s="9" t="s">
        <v>9</v>
      </c>
      <c r="C13" s="9">
        <v>44</v>
      </c>
      <c r="D13" s="9">
        <v>5</v>
      </c>
      <c r="E13" s="9">
        <v>1</v>
      </c>
      <c r="F13" s="44">
        <f>Table3138[[#This Row],[Quantity Fitted at Shaft/Area]]/Table3138[[#This Row],[Quantity Paraded]]</f>
        <v>0.2</v>
      </c>
      <c r="G13" s="9"/>
      <c r="H13" s="14">
        <f>Table3138[[#This Row],[Quantity Fitted at Shaft/Area]]+Table3138[[#This Row],[Quantity Fitted at NC Office]]</f>
        <v>1</v>
      </c>
    </row>
    <row r="14" spans="1:8" ht="13.5" thickBot="1">
      <c r="A14" s="18">
        <f>A5+4</f>
        <v>41320</v>
      </c>
      <c r="B14" s="15" t="s">
        <v>18</v>
      </c>
      <c r="C14" s="15">
        <v>77</v>
      </c>
      <c r="D14" s="15">
        <v>42</v>
      </c>
      <c r="E14" s="15">
        <v>37</v>
      </c>
      <c r="F14" s="13">
        <f>Table3138[[#This Row],[Quantity Fitted at Shaft/Area]]/Table3138[[#This Row],[Quantity Paraded]]</f>
        <v>0.88095238095238093</v>
      </c>
      <c r="G14" s="15">
        <v>4</v>
      </c>
      <c r="H14" s="27">
        <f>Table3138[[#This Row],[Quantity Fitted at Shaft/Area]]+Table3138[[#This Row],[Quantity Fitted at NC Office]]</f>
        <v>41</v>
      </c>
    </row>
    <row r="15" spans="1:8" s="92" customFormat="1" ht="13.5" thickBot="1">
      <c r="A15" s="88" t="s">
        <v>56</v>
      </c>
      <c r="B15" s="89"/>
      <c r="C15" s="89">
        <f>SUM(C5:C14)</f>
        <v>714</v>
      </c>
      <c r="D15" s="89">
        <f>SUM(D5:D14)</f>
        <v>406</v>
      </c>
      <c r="E15" s="89">
        <f>SUM(E5:E14)</f>
        <v>213</v>
      </c>
      <c r="F15" s="91">
        <f>AVERAGE(F5:F14)</f>
        <v>0.57534660973755825</v>
      </c>
      <c r="G15" s="89">
        <f>SUM(G5:G14)</f>
        <v>38</v>
      </c>
      <c r="H15" s="89">
        <f>SUM(H5:H14)</f>
        <v>251</v>
      </c>
    </row>
    <row r="17" spans="1:9" ht="26.25">
      <c r="A17" s="142">
        <v>41322</v>
      </c>
      <c r="B17" s="142"/>
      <c r="C17" s="142"/>
      <c r="D17" s="142"/>
      <c r="E17" s="142"/>
      <c r="F17" s="142"/>
      <c r="G17" s="142"/>
      <c r="H17" s="142"/>
      <c r="I17" s="142"/>
    </row>
    <row r="18" spans="1:9" ht="13.5" thickBot="1"/>
    <row r="19" spans="1:9" ht="21" thickBot="1">
      <c r="A19" s="139" t="s">
        <v>39</v>
      </c>
      <c r="B19" s="140"/>
      <c r="C19" s="140"/>
      <c r="D19" s="140"/>
      <c r="E19" s="140"/>
      <c r="F19" s="140"/>
      <c r="G19" s="140"/>
      <c r="H19" s="140"/>
      <c r="I19" s="141"/>
    </row>
    <row r="20" spans="1:9" s="26" customFormat="1" ht="80.25" customHeight="1" thickBot="1">
      <c r="A20" s="40" t="s">
        <v>0</v>
      </c>
      <c r="B20" s="41" t="s">
        <v>1</v>
      </c>
      <c r="C20" s="41" t="s">
        <v>33</v>
      </c>
      <c r="D20" s="41" t="s">
        <v>34</v>
      </c>
      <c r="E20" s="41" t="s">
        <v>35</v>
      </c>
      <c r="F20" s="41" t="s">
        <v>36</v>
      </c>
      <c r="G20" s="41" t="s">
        <v>37</v>
      </c>
      <c r="H20" s="41" t="s">
        <v>38</v>
      </c>
      <c r="I20" s="42" t="s">
        <v>23</v>
      </c>
    </row>
    <row r="21" spans="1:9" s="4" customFormat="1">
      <c r="A21" s="37">
        <f>A5</f>
        <v>41316</v>
      </c>
      <c r="B21" s="38" t="s">
        <v>4</v>
      </c>
      <c r="C21" s="38">
        <v>0</v>
      </c>
      <c r="D21" s="38">
        <v>13</v>
      </c>
      <c r="E21" s="38">
        <v>0</v>
      </c>
      <c r="F21" s="38">
        <v>0</v>
      </c>
      <c r="G21" s="38">
        <v>8</v>
      </c>
      <c r="H21" s="38">
        <v>0</v>
      </c>
      <c r="I21" s="23">
        <f>Table7139[[#This Row],[Leave]]+Table7139[[#This Row],[Discharged]]+Table7139[[#This Row],[Transferred to other Shaft / Area]]+Table7139[[#This Row],[Sick Leave]]+Table7139[[#This Row],[Training]]+Table7139[[#This Row],[Other]]</f>
        <v>21</v>
      </c>
    </row>
    <row r="22" spans="1:9" s="4" customFormat="1">
      <c r="A22" s="55">
        <f>A6</f>
        <v>41317</v>
      </c>
      <c r="B22" s="56" t="s">
        <v>13</v>
      </c>
      <c r="C22" s="56">
        <v>0</v>
      </c>
      <c r="D22" s="56">
        <v>2</v>
      </c>
      <c r="E22" s="56">
        <v>4</v>
      </c>
      <c r="F22" s="56">
        <v>2</v>
      </c>
      <c r="G22" s="56">
        <v>38</v>
      </c>
      <c r="H22" s="56">
        <v>0</v>
      </c>
      <c r="I22" s="23">
        <f>Table7139[[#This Row],[Leave]]+Table7139[[#This Row],[Discharged]]+Table7139[[#This Row],[Transferred to other Shaft / Area]]+Table7139[[#This Row],[Sick Leave]]+Table7139[[#This Row],[Training]]+Table7139[[#This Row],[Other]]</f>
        <v>46</v>
      </c>
    </row>
    <row r="23" spans="1:9" s="4" customFormat="1">
      <c r="A23" s="16">
        <f>A7</f>
        <v>41317</v>
      </c>
      <c r="B23" s="22" t="s">
        <v>11</v>
      </c>
      <c r="C23" s="22">
        <v>0</v>
      </c>
      <c r="D23" s="22">
        <v>8</v>
      </c>
      <c r="E23" s="22">
        <v>0</v>
      </c>
      <c r="F23" s="22">
        <v>0</v>
      </c>
      <c r="G23" s="22">
        <v>3</v>
      </c>
      <c r="H23" s="22">
        <v>3</v>
      </c>
      <c r="I23" s="23">
        <f>Table7139[[#This Row],[Leave]]+Table7139[[#This Row],[Discharged]]+Table7139[[#This Row],[Transferred to other Shaft / Area]]+Table7139[[#This Row],[Sick Leave]]+Table7139[[#This Row],[Training]]+Table7139[[#This Row],[Other]]</f>
        <v>14</v>
      </c>
    </row>
    <row r="24" spans="1:9" s="4" customFormat="1">
      <c r="A24" s="16">
        <f>A8</f>
        <v>41318</v>
      </c>
      <c r="B24" s="22" t="s">
        <v>7</v>
      </c>
      <c r="C24" s="22">
        <v>4</v>
      </c>
      <c r="D24" s="22">
        <v>8</v>
      </c>
      <c r="E24" s="22">
        <v>11</v>
      </c>
      <c r="F24" s="22">
        <v>0</v>
      </c>
      <c r="G24" s="22">
        <v>19</v>
      </c>
      <c r="H24" s="22">
        <v>3</v>
      </c>
      <c r="I24" s="23">
        <f>Table7139[[#This Row],[Leave]]+Table7139[[#This Row],[Discharged]]+Table7139[[#This Row],[Transferred to other Shaft / Area]]+Table7139[[#This Row],[Sick Leave]]+Table7139[[#This Row],[Training]]+Table7139[[#This Row],[Other]]</f>
        <v>45</v>
      </c>
    </row>
    <row r="25" spans="1:9" s="4" customFormat="1">
      <c r="A25" s="57">
        <f>A9</f>
        <v>41318</v>
      </c>
      <c r="B25" s="58" t="s">
        <v>19</v>
      </c>
      <c r="C25" s="58">
        <v>0</v>
      </c>
      <c r="D25" s="58">
        <v>17</v>
      </c>
      <c r="E25" s="58">
        <v>2</v>
      </c>
      <c r="F25" s="58">
        <v>0</v>
      </c>
      <c r="G25" s="58">
        <v>0</v>
      </c>
      <c r="H25" s="58">
        <v>0</v>
      </c>
      <c r="I25" s="23">
        <f>Table7139[[#This Row],[Leave]]+Table7139[[#This Row],[Discharged]]+Table7139[[#This Row],[Transferred to other Shaft / Area]]+Table7139[[#This Row],[Sick Leave]]+Table7139[[#This Row],[Training]]+Table7139[[#This Row],[Other]]</f>
        <v>19</v>
      </c>
    </row>
    <row r="26" spans="1:9" s="4" customFormat="1">
      <c r="A26" s="57">
        <f>A11</f>
        <v>41319</v>
      </c>
      <c r="B26" s="58" t="s">
        <v>20</v>
      </c>
      <c r="C26" s="58">
        <v>0</v>
      </c>
      <c r="D26" s="58">
        <v>7</v>
      </c>
      <c r="E26" s="58">
        <v>6</v>
      </c>
      <c r="F26" s="58">
        <v>0</v>
      </c>
      <c r="G26" s="58">
        <v>6</v>
      </c>
      <c r="H26" s="58">
        <v>5</v>
      </c>
      <c r="I26" s="23">
        <f>Table7139[[#This Row],[Leave]]+Table7139[[#This Row],[Discharged]]+Table7139[[#This Row],[Transferred to other Shaft / Area]]+Table7139[[#This Row],[Sick Leave]]+Table7139[[#This Row],[Training]]+Table7139[[#This Row],[Other]]</f>
        <v>24</v>
      </c>
    </row>
    <row r="27" spans="1:9" s="4" customFormat="1">
      <c r="A27" s="55">
        <f>A11</f>
        <v>41319</v>
      </c>
      <c r="B27" s="56" t="s">
        <v>22</v>
      </c>
      <c r="C27" s="56">
        <v>0</v>
      </c>
      <c r="D27" s="56">
        <v>1</v>
      </c>
      <c r="E27" s="56">
        <v>0</v>
      </c>
      <c r="F27" s="56">
        <v>0</v>
      </c>
      <c r="G27" s="56">
        <v>0</v>
      </c>
      <c r="H27" s="56">
        <v>4</v>
      </c>
      <c r="I27" s="23">
        <f>Table7139[[#This Row],[Leave]]+Table7139[[#This Row],[Discharged]]+Table7139[[#This Row],[Transferred to other Shaft / Area]]+Table7139[[#This Row],[Sick Leave]]+Table7139[[#This Row],[Training]]+Table7139[[#This Row],[Other]]</f>
        <v>5</v>
      </c>
    </row>
    <row r="28" spans="1:9" s="4" customFormat="1">
      <c r="A28" s="16">
        <f>A13</f>
        <v>41320</v>
      </c>
      <c r="B28" s="22" t="s">
        <v>18</v>
      </c>
      <c r="C28" s="22">
        <v>0</v>
      </c>
      <c r="D28" s="22">
        <v>10</v>
      </c>
      <c r="E28" s="22">
        <v>0</v>
      </c>
      <c r="F28" s="22">
        <v>0</v>
      </c>
      <c r="G28" s="22">
        <v>0</v>
      </c>
      <c r="H28" s="22">
        <v>5</v>
      </c>
      <c r="I28" s="23">
        <f>Table7139[[#This Row],[Leave]]+Table7139[[#This Row],[Discharged]]+Table7139[[#This Row],[Transferred to other Shaft / Area]]+Table7139[[#This Row],[Sick Leave]]+Table7139[[#This Row],[Training]]+Table7139[[#This Row],[Other]]</f>
        <v>15</v>
      </c>
    </row>
    <row r="29" spans="1:9" s="4" customFormat="1">
      <c r="A29" s="16">
        <f>A13</f>
        <v>41320</v>
      </c>
      <c r="B29" s="22" t="s">
        <v>9</v>
      </c>
      <c r="C29" s="22">
        <v>0</v>
      </c>
      <c r="D29" s="22">
        <v>6</v>
      </c>
      <c r="E29" s="22">
        <v>20</v>
      </c>
      <c r="F29" s="22">
        <v>0</v>
      </c>
      <c r="G29" s="22">
        <v>9</v>
      </c>
      <c r="H29" s="22">
        <v>4</v>
      </c>
      <c r="I29" s="23">
        <f>Table7139[[#This Row],[Leave]]+Table7139[[#This Row],[Discharged]]+Table7139[[#This Row],[Transferred to other Shaft / Area]]+Table7139[[#This Row],[Sick Leave]]+Table7139[[#This Row],[Training]]+Table7139[[#This Row],[Other]]</f>
        <v>39</v>
      </c>
    </row>
    <row r="30" spans="1:9" s="4" customFormat="1" ht="13.5" thickBot="1">
      <c r="A30" s="24">
        <f>A14</f>
        <v>41320</v>
      </c>
      <c r="B30" s="25" t="s">
        <v>21</v>
      </c>
      <c r="C30" s="25">
        <v>0</v>
      </c>
      <c r="D30" s="25">
        <v>25</v>
      </c>
      <c r="E30" s="25">
        <v>10</v>
      </c>
      <c r="F30" s="25">
        <v>4</v>
      </c>
      <c r="G30" s="25">
        <v>17</v>
      </c>
      <c r="H30" s="25">
        <v>4</v>
      </c>
      <c r="I30" s="23">
        <f>Table7139[[#This Row],[Leave]]+Table7139[[#This Row],[Discharged]]+Table7139[[#This Row],[Transferred to other Shaft / Area]]+Table7139[[#This Row],[Sick Leave]]+Table7139[[#This Row],[Training]]+Table7139[[#This Row],[Other]]</f>
        <v>60</v>
      </c>
    </row>
    <row r="31" spans="1:9" s="90" customFormat="1" ht="13.5" thickBot="1">
      <c r="A31" s="88" t="str">
        <f>A15</f>
        <v>Week 4 Total</v>
      </c>
      <c r="B31" s="89"/>
      <c r="C31" s="89">
        <f t="shared" ref="C31:I31" si="0">SUM(C21:C30)</f>
        <v>4</v>
      </c>
      <c r="D31" s="89">
        <f t="shared" si="0"/>
        <v>97</v>
      </c>
      <c r="E31" s="89">
        <f t="shared" si="0"/>
        <v>53</v>
      </c>
      <c r="F31" s="89">
        <f t="shared" si="0"/>
        <v>6</v>
      </c>
      <c r="G31" s="89">
        <f t="shared" si="0"/>
        <v>100</v>
      </c>
      <c r="H31" s="89">
        <f t="shared" si="0"/>
        <v>28</v>
      </c>
      <c r="I31" s="89">
        <f t="shared" si="0"/>
        <v>288</v>
      </c>
    </row>
    <row r="32" spans="1:9" ht="26.25">
      <c r="A32" s="134">
        <f>A1</f>
        <v>41322</v>
      </c>
      <c r="B32" s="134"/>
      <c r="C32" s="134"/>
      <c r="D32" s="134"/>
      <c r="E32" s="134"/>
      <c r="F32" s="45"/>
      <c r="G32" s="45"/>
      <c r="H32" s="45"/>
      <c r="I32" s="45"/>
    </row>
    <row r="33" spans="1:21" ht="13.5" thickBot="1"/>
    <row r="34" spans="1:21" ht="21" thickBot="1">
      <c r="A34" s="144" t="s">
        <v>8</v>
      </c>
      <c r="B34" s="145"/>
      <c r="C34" s="145"/>
      <c r="D34" s="145"/>
      <c r="E34" s="146"/>
    </row>
    <row r="35" spans="1:21" s="1" customFormat="1" ht="93" customHeight="1" thickBot="1">
      <c r="A35" s="34" t="s">
        <v>0</v>
      </c>
      <c r="B35" s="35" t="s">
        <v>1</v>
      </c>
      <c r="C35" s="35" t="s">
        <v>40</v>
      </c>
      <c r="D35" s="35" t="s">
        <v>42</v>
      </c>
      <c r="E35" s="36" t="s">
        <v>41</v>
      </c>
    </row>
    <row r="36" spans="1:21" s="4" customFormat="1">
      <c r="A36" s="32">
        <f>A5</f>
        <v>41316</v>
      </c>
      <c r="B36" s="33" t="s">
        <v>17</v>
      </c>
      <c r="C36" s="33">
        <v>24</v>
      </c>
      <c r="D36" s="33">
        <v>4</v>
      </c>
      <c r="E36" s="33">
        <v>87</v>
      </c>
    </row>
    <row r="37" spans="1:21" s="4" customFormat="1">
      <c r="A37" s="28">
        <f>A5</f>
        <v>41316</v>
      </c>
      <c r="B37" s="19" t="s">
        <v>22</v>
      </c>
      <c r="C37" s="19">
        <v>4</v>
      </c>
      <c r="D37" s="19">
        <v>1</v>
      </c>
      <c r="E37" s="19"/>
    </row>
    <row r="38" spans="1:21" s="4" customFormat="1">
      <c r="A38" s="30">
        <f>A6</f>
        <v>41317</v>
      </c>
      <c r="B38" s="20" t="s">
        <v>10</v>
      </c>
      <c r="C38" s="20">
        <v>13</v>
      </c>
      <c r="D38" s="20">
        <v>5</v>
      </c>
      <c r="E38" s="31">
        <v>81</v>
      </c>
    </row>
    <row r="39" spans="1:21" s="4" customFormat="1">
      <c r="A39" s="30">
        <f>A6</f>
        <v>41317</v>
      </c>
      <c r="B39" s="20" t="s">
        <v>7</v>
      </c>
      <c r="C39" s="20">
        <v>4</v>
      </c>
      <c r="D39" s="20">
        <v>2</v>
      </c>
      <c r="E39" s="31"/>
    </row>
    <row r="40" spans="1:21" s="4" customFormat="1">
      <c r="A40" s="30">
        <f>A6</f>
        <v>41317</v>
      </c>
      <c r="B40" s="20" t="s">
        <v>11</v>
      </c>
      <c r="C40" s="20">
        <v>7</v>
      </c>
      <c r="D40" s="20">
        <v>3</v>
      </c>
      <c r="E40" s="31"/>
    </row>
    <row r="41" spans="1:21" s="4" customFormat="1">
      <c r="A41" s="28">
        <f>A8</f>
        <v>41318</v>
      </c>
      <c r="B41" s="19" t="s">
        <v>13</v>
      </c>
      <c r="C41" s="19">
        <v>11</v>
      </c>
      <c r="D41" s="19">
        <v>6</v>
      </c>
      <c r="E41" s="29">
        <v>59</v>
      </c>
    </row>
    <row r="42" spans="1:21" s="4" customFormat="1">
      <c r="A42" s="28">
        <f>A8</f>
        <v>41318</v>
      </c>
      <c r="B42" s="19" t="s">
        <v>4</v>
      </c>
      <c r="C42" s="19">
        <v>11</v>
      </c>
      <c r="D42" s="19">
        <v>4</v>
      </c>
      <c r="E42" s="29"/>
    </row>
    <row r="43" spans="1:21" s="4" customFormat="1">
      <c r="A43" s="30">
        <f>A11</f>
        <v>41319</v>
      </c>
      <c r="B43" s="20" t="s">
        <v>6</v>
      </c>
      <c r="C43" s="20">
        <v>9</v>
      </c>
      <c r="D43" s="20">
        <v>6</v>
      </c>
      <c r="E43" s="31">
        <v>42</v>
      </c>
    </row>
    <row r="44" spans="1:21" s="4" customFormat="1" ht="13.5" thickBot="1">
      <c r="A44" s="28">
        <f>A14</f>
        <v>41320</v>
      </c>
      <c r="B44" s="19" t="s">
        <v>18</v>
      </c>
      <c r="C44" s="19">
        <v>5</v>
      </c>
      <c r="D44" s="19">
        <v>0</v>
      </c>
      <c r="E44" s="29">
        <v>38</v>
      </c>
    </row>
    <row r="45" spans="1:21" s="90" customFormat="1" ht="13.5" thickBot="1">
      <c r="A45" s="88" t="str">
        <f>A15</f>
        <v>Week 4 Total</v>
      </c>
      <c r="B45" s="89"/>
      <c r="C45" s="89">
        <f>SUM(C36:C44)</f>
        <v>88</v>
      </c>
      <c r="D45" s="89">
        <f>SUM(D36:D44)</f>
        <v>31</v>
      </c>
      <c r="E45" s="89">
        <f>SUM(E36:E44)</f>
        <v>307</v>
      </c>
    </row>
    <row r="46" spans="1:21" s="4" customFormat="1">
      <c r="A46"/>
      <c r="B46"/>
      <c r="C46"/>
      <c r="D46"/>
      <c r="E46"/>
    </row>
    <row r="47" spans="1:21" ht="26.25">
      <c r="A47" s="142">
        <f>A1</f>
        <v>41322</v>
      </c>
      <c r="B47" s="142"/>
      <c r="C47" s="142"/>
      <c r="D47" s="142"/>
      <c r="E47" s="142"/>
      <c r="F47" s="142"/>
      <c r="G47" s="142"/>
      <c r="H47" s="142"/>
      <c r="I47" s="142"/>
      <c r="J47" s="142"/>
      <c r="K47" s="142"/>
      <c r="L47" s="142"/>
      <c r="M47" s="142"/>
      <c r="N47" s="142"/>
      <c r="O47" s="142"/>
      <c r="P47" s="142"/>
      <c r="Q47" s="142"/>
      <c r="R47" s="142"/>
      <c r="S47" s="142"/>
      <c r="T47" s="142"/>
      <c r="U47" s="142"/>
    </row>
    <row r="48" spans="1:21" ht="13.5" thickBot="1"/>
    <row r="49" spans="1:21" ht="21" thickBot="1">
      <c r="A49" s="139" t="s">
        <v>12</v>
      </c>
      <c r="B49" s="140"/>
      <c r="C49" s="140"/>
      <c r="D49" s="140"/>
      <c r="E49" s="140"/>
      <c r="F49" s="140"/>
      <c r="G49" s="140"/>
      <c r="H49" s="140"/>
      <c r="I49" s="140"/>
      <c r="J49" s="140"/>
      <c r="K49" s="140"/>
      <c r="L49" s="140"/>
      <c r="M49" s="140"/>
      <c r="N49" s="140"/>
      <c r="O49" s="140"/>
      <c r="P49" s="140"/>
      <c r="Q49" s="140"/>
      <c r="R49" s="140"/>
      <c r="S49" s="140"/>
      <c r="T49" s="140"/>
      <c r="U49" s="141"/>
    </row>
    <row r="50" spans="1:21" s="1" customFormat="1" ht="80.25" customHeight="1" thickBot="1">
      <c r="A50" s="40" t="s">
        <v>0</v>
      </c>
      <c r="B50" s="41" t="s">
        <v>13</v>
      </c>
      <c r="C50" s="41" t="s">
        <v>14</v>
      </c>
      <c r="D50" s="41" t="s">
        <v>15</v>
      </c>
      <c r="E50" s="41" t="s">
        <v>16</v>
      </c>
      <c r="F50" s="41" t="s">
        <v>9</v>
      </c>
      <c r="G50" s="41" t="s">
        <v>10</v>
      </c>
      <c r="H50" s="41" t="s">
        <v>5</v>
      </c>
      <c r="I50" s="41" t="s">
        <v>3</v>
      </c>
      <c r="J50" s="41" t="s">
        <v>4</v>
      </c>
      <c r="K50" s="41" t="s">
        <v>17</v>
      </c>
      <c r="L50" s="41" t="s">
        <v>7</v>
      </c>
      <c r="M50" s="41" t="s">
        <v>11</v>
      </c>
      <c r="N50" s="41" t="s">
        <v>18</v>
      </c>
      <c r="O50" s="41" t="s">
        <v>6</v>
      </c>
      <c r="P50" s="41" t="s">
        <v>19</v>
      </c>
      <c r="Q50" s="41" t="s">
        <v>20</v>
      </c>
      <c r="R50" s="41" t="s">
        <v>21</v>
      </c>
      <c r="S50" s="41" t="s">
        <v>22</v>
      </c>
      <c r="T50" s="41" t="s">
        <v>43</v>
      </c>
      <c r="U50" s="42" t="s">
        <v>44</v>
      </c>
    </row>
    <row r="51" spans="1:21" s="21" customFormat="1">
      <c r="A51" s="37">
        <f>A5</f>
        <v>41316</v>
      </c>
      <c r="B51" s="38">
        <v>1</v>
      </c>
      <c r="C51" s="38">
        <v>0</v>
      </c>
      <c r="D51" s="38">
        <v>0</v>
      </c>
      <c r="E51" s="38">
        <v>0</v>
      </c>
      <c r="F51" s="38">
        <v>3</v>
      </c>
      <c r="G51" s="38">
        <v>0</v>
      </c>
      <c r="H51" s="38">
        <v>1</v>
      </c>
      <c r="I51" s="38">
        <v>1</v>
      </c>
      <c r="J51" s="38">
        <v>2</v>
      </c>
      <c r="K51" s="38">
        <v>2</v>
      </c>
      <c r="L51" s="38">
        <v>2</v>
      </c>
      <c r="M51" s="38">
        <v>7</v>
      </c>
      <c r="N51" s="38">
        <v>5</v>
      </c>
      <c r="O51" s="38">
        <v>3</v>
      </c>
      <c r="P51" s="38">
        <v>1</v>
      </c>
      <c r="Q51" s="38">
        <v>2</v>
      </c>
      <c r="R51" s="38">
        <v>5</v>
      </c>
      <c r="S51" s="38">
        <v>0</v>
      </c>
      <c r="T51" s="38">
        <v>2</v>
      </c>
      <c r="U51" s="39">
        <f>SUM(Table10141[[#This Row],[1'#]:[Minpro]])</f>
        <v>37</v>
      </c>
    </row>
    <row r="52" spans="1:21" s="21" customFormat="1">
      <c r="A52" s="16">
        <f>A6</f>
        <v>41317</v>
      </c>
      <c r="B52" s="22">
        <v>1</v>
      </c>
      <c r="C52" s="22">
        <v>0</v>
      </c>
      <c r="D52" s="22">
        <v>2</v>
      </c>
      <c r="E52" s="22">
        <v>0</v>
      </c>
      <c r="F52" s="22">
        <v>1</v>
      </c>
      <c r="G52" s="22">
        <v>0</v>
      </c>
      <c r="H52" s="22">
        <v>0</v>
      </c>
      <c r="I52" s="22">
        <v>1</v>
      </c>
      <c r="J52" s="22">
        <v>2</v>
      </c>
      <c r="K52" s="22">
        <v>1</v>
      </c>
      <c r="L52" s="22">
        <v>2</v>
      </c>
      <c r="M52" s="22">
        <v>3</v>
      </c>
      <c r="N52" s="22">
        <v>1</v>
      </c>
      <c r="O52" s="22">
        <v>2</v>
      </c>
      <c r="P52" s="22">
        <v>7</v>
      </c>
      <c r="Q52" s="22">
        <v>2</v>
      </c>
      <c r="R52" s="22">
        <v>2</v>
      </c>
      <c r="S52" s="22">
        <v>0</v>
      </c>
      <c r="T52" s="22">
        <v>1</v>
      </c>
      <c r="U52" s="23">
        <f>SUM(Table10141[[#This Row],[1'#]:[Minpro]])</f>
        <v>28</v>
      </c>
    </row>
    <row r="53" spans="1:21" s="21" customFormat="1">
      <c r="A53" s="16">
        <f>A8</f>
        <v>41318</v>
      </c>
      <c r="B53" s="22">
        <v>4</v>
      </c>
      <c r="C53" s="22">
        <v>1</v>
      </c>
      <c r="D53" s="22">
        <v>0</v>
      </c>
      <c r="E53" s="22">
        <v>0</v>
      </c>
      <c r="F53" s="22">
        <v>0</v>
      </c>
      <c r="G53" s="22">
        <v>0</v>
      </c>
      <c r="H53" s="22">
        <v>0</v>
      </c>
      <c r="I53" s="22">
        <v>0</v>
      </c>
      <c r="J53" s="22">
        <v>3</v>
      </c>
      <c r="K53" s="22">
        <v>1</v>
      </c>
      <c r="L53" s="22">
        <v>3</v>
      </c>
      <c r="M53" s="22">
        <v>2</v>
      </c>
      <c r="N53" s="22">
        <v>2</v>
      </c>
      <c r="O53" s="22">
        <v>2</v>
      </c>
      <c r="P53" s="22">
        <v>3</v>
      </c>
      <c r="Q53" s="22">
        <v>0</v>
      </c>
      <c r="R53" s="22">
        <v>2</v>
      </c>
      <c r="S53" s="22">
        <v>0</v>
      </c>
      <c r="T53" s="22">
        <v>3</v>
      </c>
      <c r="U53" s="23">
        <f>SUM(Table10141[[#This Row],[1'#]:[Minpro]])</f>
        <v>26</v>
      </c>
    </row>
    <row r="54" spans="1:21" s="21" customFormat="1">
      <c r="A54" s="16">
        <f>A11</f>
        <v>41319</v>
      </c>
      <c r="B54" s="22">
        <v>0</v>
      </c>
      <c r="C54" s="22">
        <v>0</v>
      </c>
      <c r="D54" s="22">
        <v>2</v>
      </c>
      <c r="E54" s="22">
        <v>1</v>
      </c>
      <c r="F54" s="22">
        <v>0</v>
      </c>
      <c r="G54" s="22">
        <v>2</v>
      </c>
      <c r="H54" s="22">
        <v>2</v>
      </c>
      <c r="I54" s="22">
        <v>0</v>
      </c>
      <c r="J54" s="22">
        <v>2</v>
      </c>
      <c r="K54" s="22">
        <v>2</v>
      </c>
      <c r="L54" s="22">
        <v>4</v>
      </c>
      <c r="M54" s="22">
        <v>7</v>
      </c>
      <c r="N54" s="22">
        <v>2</v>
      </c>
      <c r="O54" s="22">
        <v>1</v>
      </c>
      <c r="P54" s="22">
        <v>3</v>
      </c>
      <c r="Q54" s="22">
        <v>5</v>
      </c>
      <c r="R54" s="22">
        <v>2</v>
      </c>
      <c r="S54" s="22">
        <v>0</v>
      </c>
      <c r="T54" s="22">
        <v>3</v>
      </c>
      <c r="U54" s="23">
        <f>SUM(Table10141[[#This Row],[1'#]:[Minpro]])</f>
        <v>38</v>
      </c>
    </row>
    <row r="55" spans="1:21" s="21" customFormat="1" ht="13.5" thickBot="1">
      <c r="A55" s="24">
        <f>A14</f>
        <v>41320</v>
      </c>
      <c r="B55" s="25">
        <v>5</v>
      </c>
      <c r="C55" s="25">
        <v>0</v>
      </c>
      <c r="D55" s="25">
        <v>1</v>
      </c>
      <c r="E55" s="25">
        <v>0</v>
      </c>
      <c r="F55" s="25">
        <v>2</v>
      </c>
      <c r="G55" s="25">
        <v>2</v>
      </c>
      <c r="H55" s="25">
        <v>0</v>
      </c>
      <c r="I55" s="25">
        <v>0</v>
      </c>
      <c r="J55" s="25">
        <v>2</v>
      </c>
      <c r="K55" s="25">
        <v>0</v>
      </c>
      <c r="L55" s="25">
        <v>3</v>
      </c>
      <c r="M55" s="25">
        <v>0</v>
      </c>
      <c r="N55" s="25">
        <v>2</v>
      </c>
      <c r="O55" s="25">
        <v>4</v>
      </c>
      <c r="P55" s="25">
        <v>1</v>
      </c>
      <c r="Q55" s="25">
        <v>0</v>
      </c>
      <c r="R55" s="25">
        <v>2</v>
      </c>
      <c r="S55" s="25">
        <v>0</v>
      </c>
      <c r="T55" s="25">
        <v>2</v>
      </c>
      <c r="U55" s="23">
        <f>SUM(Table10141[[#This Row],[1'#]:[Minpro]])</f>
        <v>26</v>
      </c>
    </row>
    <row r="56" spans="1:21" s="87" customFormat="1" ht="13.5" thickBot="1">
      <c r="A56" s="85" t="str">
        <f>A15</f>
        <v>Week 4 Total</v>
      </c>
      <c r="B56" s="86">
        <f>SUM(B51:B55)</f>
        <v>11</v>
      </c>
      <c r="C56" s="86">
        <f t="shared" ref="C56:U56" si="1">SUM(C51:C55)</f>
        <v>1</v>
      </c>
      <c r="D56" s="86">
        <f t="shared" si="1"/>
        <v>5</v>
      </c>
      <c r="E56" s="86">
        <f t="shared" si="1"/>
        <v>1</v>
      </c>
      <c r="F56" s="86">
        <f t="shared" si="1"/>
        <v>6</v>
      </c>
      <c r="G56" s="86">
        <f t="shared" si="1"/>
        <v>4</v>
      </c>
      <c r="H56" s="86">
        <f t="shared" si="1"/>
        <v>3</v>
      </c>
      <c r="I56" s="86">
        <f t="shared" si="1"/>
        <v>2</v>
      </c>
      <c r="J56" s="86">
        <f t="shared" si="1"/>
        <v>11</v>
      </c>
      <c r="K56" s="86">
        <f t="shared" si="1"/>
        <v>6</v>
      </c>
      <c r="L56" s="86">
        <f t="shared" si="1"/>
        <v>14</v>
      </c>
      <c r="M56" s="86">
        <f t="shared" si="1"/>
        <v>19</v>
      </c>
      <c r="N56" s="86">
        <f t="shared" si="1"/>
        <v>12</v>
      </c>
      <c r="O56" s="86">
        <f t="shared" si="1"/>
        <v>12</v>
      </c>
      <c r="P56" s="86">
        <f t="shared" si="1"/>
        <v>15</v>
      </c>
      <c r="Q56" s="86">
        <f t="shared" si="1"/>
        <v>9</v>
      </c>
      <c r="R56" s="86">
        <f t="shared" si="1"/>
        <v>13</v>
      </c>
      <c r="S56" s="86">
        <f t="shared" si="1"/>
        <v>0</v>
      </c>
      <c r="T56" s="86">
        <f t="shared" si="1"/>
        <v>11</v>
      </c>
      <c r="U56" s="86">
        <f t="shared" si="1"/>
        <v>155</v>
      </c>
    </row>
    <row r="57" spans="1:21" s="21" customFormat="1" ht="26.25">
      <c r="A57" s="134">
        <f>A1</f>
        <v>41322</v>
      </c>
      <c r="B57" s="134"/>
      <c r="C57" s="134"/>
      <c r="D57" s="134"/>
      <c r="E57" s="134"/>
      <c r="F57" s="134"/>
      <c r="G57" s="134"/>
      <c r="H57" s="134"/>
      <c r="I57" s="134"/>
      <c r="J57" s="134"/>
      <c r="K57"/>
      <c r="L57"/>
      <c r="M57"/>
      <c r="N57"/>
      <c r="O57"/>
      <c r="P57"/>
      <c r="Q57"/>
      <c r="R57"/>
      <c r="S57"/>
      <c r="T57"/>
      <c r="U57"/>
    </row>
    <row r="58" spans="1:21" ht="13.5" thickBot="1"/>
    <row r="59" spans="1:21" ht="21" thickBot="1">
      <c r="A59" s="136" t="s">
        <v>52</v>
      </c>
      <c r="B59" s="137"/>
      <c r="C59" s="137"/>
      <c r="D59" s="137"/>
      <c r="E59" s="137"/>
      <c r="F59" s="137"/>
      <c r="G59" s="137"/>
      <c r="H59" s="137"/>
      <c r="I59" s="137"/>
      <c r="J59" s="138"/>
    </row>
    <row r="60" spans="1:21" ht="51.75" thickBot="1">
      <c r="A60" s="40" t="s">
        <v>0</v>
      </c>
      <c r="B60" s="41" t="s">
        <v>24</v>
      </c>
      <c r="C60" s="41" t="s">
        <v>48</v>
      </c>
      <c r="D60" s="41" t="s">
        <v>25</v>
      </c>
      <c r="E60" s="41" t="s">
        <v>49</v>
      </c>
      <c r="F60" s="41" t="s">
        <v>45</v>
      </c>
      <c r="G60" s="41" t="s">
        <v>50</v>
      </c>
      <c r="H60" s="41" t="s">
        <v>46</v>
      </c>
      <c r="I60" s="41" t="s">
        <v>51</v>
      </c>
      <c r="J60" s="42" t="s">
        <v>47</v>
      </c>
      <c r="K60" s="1"/>
      <c r="L60" s="1"/>
      <c r="M60" s="1"/>
      <c r="N60" s="1"/>
      <c r="O60" s="1"/>
      <c r="P60" s="1"/>
      <c r="Q60" s="1"/>
      <c r="R60" s="1"/>
      <c r="S60" s="1"/>
      <c r="T60" s="1"/>
      <c r="U60" s="1"/>
    </row>
    <row r="61" spans="1:21" s="1" customFormat="1">
      <c r="A61" s="3">
        <f>A5</f>
        <v>41316</v>
      </c>
      <c r="B61" s="10">
        <v>10</v>
      </c>
      <c r="C61" s="44">
        <f>Table11142[[#This Row],[Contractors]]/U51</f>
        <v>0.27027027027027029</v>
      </c>
      <c r="D61" s="10">
        <v>1</v>
      </c>
      <c r="E61" s="44">
        <f>Table11142[[#This Row],[New Recruits]]/U51</f>
        <v>2.7027027027027029E-2</v>
      </c>
      <c r="F61" s="10">
        <v>19</v>
      </c>
      <c r="G61" s="44">
        <f>Table11142[[#This Row],[2 Year Claims]]/U51</f>
        <v>0.51351351351351349</v>
      </c>
      <c r="H61" s="10">
        <v>0</v>
      </c>
      <c r="I61" s="44">
        <f>Table11142[[#This Row],[5 Year Claim]]/U51</f>
        <v>0</v>
      </c>
      <c r="J61" s="11">
        <v>5</v>
      </c>
      <c r="K61"/>
      <c r="L61"/>
      <c r="M61"/>
      <c r="N61"/>
      <c r="O61"/>
      <c r="P61"/>
      <c r="Q61"/>
      <c r="R61"/>
      <c r="S61"/>
      <c r="T61"/>
      <c r="U61"/>
    </row>
    <row r="62" spans="1:21">
      <c r="A62" s="2">
        <f>A6</f>
        <v>41317</v>
      </c>
      <c r="B62" s="9">
        <v>9</v>
      </c>
      <c r="C62" s="13">
        <f>Table11142[[#This Row],[Contractors]]/U52</f>
        <v>0.32142857142857145</v>
      </c>
      <c r="D62" s="9">
        <v>0</v>
      </c>
      <c r="E62" s="13">
        <f>Table11142[[#This Row],[New Recruits]]/U52</f>
        <v>0</v>
      </c>
      <c r="F62" s="9">
        <v>13</v>
      </c>
      <c r="G62" s="13">
        <f>Table11142[[#This Row],[2 Year Claims]]/U52</f>
        <v>0.4642857142857143</v>
      </c>
      <c r="H62" s="9">
        <v>0</v>
      </c>
      <c r="I62" s="13">
        <f>Table11142[[#This Row],[5 Year Claim]]/U52</f>
        <v>0</v>
      </c>
      <c r="J62" s="110">
        <v>1</v>
      </c>
    </row>
    <row r="63" spans="1:21">
      <c r="A63" s="2">
        <f>A8</f>
        <v>41318</v>
      </c>
      <c r="B63" s="9">
        <v>7</v>
      </c>
      <c r="C63" s="13">
        <f>Table11142[[#This Row],[Contractors]]/U53</f>
        <v>0.26923076923076922</v>
      </c>
      <c r="D63" s="9">
        <v>0</v>
      </c>
      <c r="E63" s="13">
        <f>Table11142[[#This Row],[New Recruits]]/U53</f>
        <v>0</v>
      </c>
      <c r="F63" s="9">
        <v>14</v>
      </c>
      <c r="G63" s="13">
        <f>Table11142[[#This Row],[2 Year Claims]]/U53</f>
        <v>0.53846153846153844</v>
      </c>
      <c r="H63" s="9">
        <v>0</v>
      </c>
      <c r="I63" s="13">
        <f>Table11142[[#This Row],[5 Year Claim]]/U53</f>
        <v>0</v>
      </c>
      <c r="J63" s="110">
        <v>3</v>
      </c>
    </row>
    <row r="64" spans="1:21">
      <c r="A64" s="2">
        <f>A11</f>
        <v>41319</v>
      </c>
      <c r="B64" s="9">
        <v>16</v>
      </c>
      <c r="C64" s="13">
        <f>Table11142[[#This Row],[Contractors]]/U54</f>
        <v>0.42105263157894735</v>
      </c>
      <c r="D64" s="9">
        <v>0</v>
      </c>
      <c r="E64" s="13">
        <f>Table11142[[#This Row],[New Recruits]]/U54</f>
        <v>0</v>
      </c>
      <c r="F64" s="9">
        <v>20</v>
      </c>
      <c r="G64" s="13">
        <f>Table11142[[#This Row],[2 Year Claims]]/U54</f>
        <v>0.52631578947368418</v>
      </c>
      <c r="H64" s="9">
        <v>0</v>
      </c>
      <c r="I64" s="13">
        <f>Table11142[[#This Row],[5 Year Claim]]/U54</f>
        <v>0</v>
      </c>
      <c r="J64" s="110">
        <v>4</v>
      </c>
    </row>
    <row r="65" spans="1:10" ht="13.5" thickBot="1">
      <c r="A65" s="5">
        <f>A14</f>
        <v>41320</v>
      </c>
      <c r="B65" s="15">
        <v>7</v>
      </c>
      <c r="C65" s="13">
        <f>Table11142[[#This Row],[Contractors]]/U55</f>
        <v>0.26923076923076922</v>
      </c>
      <c r="D65" s="15">
        <v>0</v>
      </c>
      <c r="E65" s="13">
        <f>Table11142[[#This Row],[New Recruits]]/U55</f>
        <v>0</v>
      </c>
      <c r="F65" s="15">
        <v>12</v>
      </c>
      <c r="G65" s="13">
        <f>Table11142[[#This Row],[2 Year Claims]]/U55</f>
        <v>0.46153846153846156</v>
      </c>
      <c r="H65" s="15">
        <v>0</v>
      </c>
      <c r="I65" s="13">
        <f>Table11142[[#This Row],[5 Year Claim]]/U55</f>
        <v>0</v>
      </c>
      <c r="J65" s="111">
        <v>3</v>
      </c>
    </row>
    <row r="66" spans="1:10" ht="13.5" thickBot="1">
      <c r="A66" s="84" t="str">
        <f>A15</f>
        <v>Week 4 Total</v>
      </c>
      <c r="B66" s="112">
        <f>SUM(B61:B65)</f>
        <v>49</v>
      </c>
      <c r="C66" s="113">
        <f>AVERAGE(C61:C65)</f>
        <v>0.31024260234786549</v>
      </c>
      <c r="D66" s="112">
        <f>SUM(D61:D65)</f>
        <v>1</v>
      </c>
      <c r="E66" s="113">
        <f>AVERAGE(E61:E65)</f>
        <v>5.4054054054054057E-3</v>
      </c>
      <c r="F66" s="112">
        <f>SUM(F61:F65)</f>
        <v>78</v>
      </c>
      <c r="G66" s="113">
        <f>AVERAGE(G61:G65)</f>
        <v>0.50082300345458242</v>
      </c>
      <c r="H66" s="112">
        <f>SUM(H61:H65)</f>
        <v>0</v>
      </c>
      <c r="I66" s="113">
        <f>AVERAGE(I61:I65)</f>
        <v>0</v>
      </c>
      <c r="J66" s="112">
        <f>SUM(J61:J65)</f>
        <v>16</v>
      </c>
    </row>
  </sheetData>
  <mergeCells count="10">
    <mergeCell ref="A59:J59"/>
    <mergeCell ref="A47:U47"/>
    <mergeCell ref="A1:H1"/>
    <mergeCell ref="A3:H3"/>
    <mergeCell ref="A57:J57"/>
    <mergeCell ref="A17:I17"/>
    <mergeCell ref="A19:I19"/>
    <mergeCell ref="A32:E32"/>
    <mergeCell ref="A34:E34"/>
    <mergeCell ref="A49:U49"/>
  </mergeCells>
  <phoneticPr fontId="1" type="noConversion"/>
  <conditionalFormatting sqref="D36">
    <cfRule type="cellIs" dxfId="419" priority="26" operator="greaterThan">
      <formula>$C$36</formula>
    </cfRule>
  </conditionalFormatting>
  <conditionalFormatting sqref="D37">
    <cfRule type="cellIs" dxfId="418" priority="25" operator="greaterThan">
      <formula>$C$37</formula>
    </cfRule>
  </conditionalFormatting>
  <conditionalFormatting sqref="D38">
    <cfRule type="cellIs" dxfId="417" priority="21" operator="greaterThan">
      <formula>$C$38</formula>
    </cfRule>
  </conditionalFormatting>
  <conditionalFormatting sqref="D40">
    <cfRule type="cellIs" dxfId="416" priority="20" operator="greaterThan">
      <formula>$C$40</formula>
    </cfRule>
  </conditionalFormatting>
  <conditionalFormatting sqref="D41">
    <cfRule type="cellIs" dxfId="415" priority="17" operator="greaterThan">
      <formula>$C$41</formula>
    </cfRule>
  </conditionalFormatting>
  <conditionalFormatting sqref="D42">
    <cfRule type="cellIs" dxfId="414" priority="16" operator="greaterThan">
      <formula>$C$42</formula>
    </cfRule>
  </conditionalFormatting>
  <conditionalFormatting sqref="D43">
    <cfRule type="cellIs" dxfId="413" priority="12" operator="greaterThan">
      <formula>$C$43</formula>
    </cfRule>
  </conditionalFormatting>
  <conditionalFormatting sqref="D44">
    <cfRule type="cellIs" dxfId="412" priority="7" operator="greaterThan">
      <formula>$C$44</formula>
    </cfRule>
  </conditionalFormatting>
  <conditionalFormatting sqref="F5:F15">
    <cfRule type="cellIs" dxfId="411" priority="1" operator="lessThan">
      <formula>0.7</formula>
    </cfRule>
    <cfRule type="cellIs" dxfId="410" priority="2" operator="greaterThan">
      <formula>0.7</formula>
    </cfRule>
  </conditionalFormatting>
  <pageMargins left="0.15748031496062992" right="0.15748031496062992" top="0.39370078740157483" bottom="0.39370078740157483" header="0.51181102362204722" footer="0.51181102362204722"/>
  <pageSetup paperSize="9" scale="94" orientation="landscape" verticalDpi="0" r:id="rId1"/>
  <headerFooter alignWithMargins="0"/>
  <legacyDrawing r:id="rId2"/>
  <tableParts count="5">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dimension ref="A1"/>
  <sheetViews>
    <sheetView zoomScale="75" zoomScaleNormal="75" workbookViewId="0">
      <selection activeCell="A81" sqref="A1:XFD1048576"/>
    </sheetView>
  </sheetViews>
  <sheetFormatPr defaultRowHeight="12.75"/>
  <sheetData/>
  <phoneticPr fontId="1" type="noConversion"/>
  <pageMargins left="0.15748031496062992" right="0.15748031496062992" top="0.39370078740157483" bottom="0.39370078740157483" header="0.51181102362204722" footer="0.51181102362204722"/>
  <pageSetup paperSize="9" orientation="landscape" verticalDpi="0" r:id="rId1"/>
  <headerFooter alignWithMargins="0"/>
  <drawing r:id="rId2"/>
</worksheet>
</file>

<file path=xl/worksheets/sheet9.xml><?xml version="1.0" encoding="utf-8"?>
<worksheet xmlns="http://schemas.openxmlformats.org/spreadsheetml/2006/main" xmlns:r="http://schemas.openxmlformats.org/officeDocument/2006/relationships">
  <dimension ref="A1:U48"/>
  <sheetViews>
    <sheetView topLeftCell="A15" workbookViewId="0">
      <selection activeCell="A12" sqref="A12:I12"/>
    </sheetView>
  </sheetViews>
  <sheetFormatPr defaultRowHeight="12.75"/>
  <cols>
    <col min="1" max="1" width="15.7109375" customWidth="1"/>
    <col min="2" max="10" width="13.7109375" customWidth="1"/>
    <col min="11" max="21" width="8.85546875" customWidth="1"/>
  </cols>
  <sheetData>
    <row r="1" spans="1:9" ht="26.25">
      <c r="A1" s="143">
        <v>41325</v>
      </c>
      <c r="B1" s="143"/>
      <c r="C1" s="143"/>
      <c r="D1" s="143"/>
      <c r="E1" s="143"/>
      <c r="F1" s="143"/>
      <c r="G1" s="143"/>
      <c r="H1" s="143"/>
    </row>
    <row r="2" spans="1:9" ht="13.5" thickBot="1"/>
    <row r="3" spans="1:9" ht="21" thickBot="1">
      <c r="A3" s="147" t="s">
        <v>2</v>
      </c>
      <c r="B3" s="148"/>
      <c r="C3" s="148"/>
      <c r="D3" s="148"/>
      <c r="E3" s="148"/>
      <c r="F3" s="148"/>
      <c r="G3" s="148"/>
      <c r="H3" s="149"/>
    </row>
    <row r="4" spans="1:9" s="1" customFormat="1" ht="80.25" customHeight="1" thickBot="1">
      <c r="A4" s="40" t="s">
        <v>0</v>
      </c>
      <c r="B4" s="41" t="s">
        <v>1</v>
      </c>
      <c r="C4" s="41" t="s">
        <v>26</v>
      </c>
      <c r="D4" s="41" t="s">
        <v>27</v>
      </c>
      <c r="E4" s="41" t="s">
        <v>28</v>
      </c>
      <c r="F4" s="41" t="s">
        <v>29</v>
      </c>
      <c r="G4" s="41" t="s">
        <v>30</v>
      </c>
      <c r="H4" s="42" t="s">
        <v>31</v>
      </c>
    </row>
    <row r="5" spans="1:9">
      <c r="A5" s="100">
        <v>41323</v>
      </c>
      <c r="B5" s="120"/>
      <c r="C5" s="10"/>
      <c r="D5" s="10"/>
      <c r="E5" s="10"/>
      <c r="F5" s="44">
        <v>0</v>
      </c>
      <c r="G5" s="10">
        <v>24</v>
      </c>
      <c r="H5" s="12">
        <f>Table3143[[#This Row],[Quantity Fitted at Shaft/Area]]+Table3143[[#This Row],[Quantity Fitted at NC Office]]</f>
        <v>24</v>
      </c>
    </row>
    <row r="6" spans="1:9">
      <c r="A6" s="100">
        <v>41324</v>
      </c>
      <c r="B6" s="121" t="s">
        <v>9</v>
      </c>
      <c r="C6" s="9">
        <v>61</v>
      </c>
      <c r="D6" s="9">
        <v>52</v>
      </c>
      <c r="E6" s="9">
        <v>39</v>
      </c>
      <c r="F6" s="48">
        <f>Table3143[[#This Row],[Quantity Fitted at Shaft/Area]]/Table3143[[#This Row],[Quantity Paraded]]</f>
        <v>0.75</v>
      </c>
      <c r="G6" s="9">
        <v>29</v>
      </c>
      <c r="H6" s="14">
        <f>Table3143[[#This Row],[Quantity Fitted at Shaft/Area]]+Table3143[[#This Row],[Quantity Fitted at NC Office]]</f>
        <v>68</v>
      </c>
    </row>
    <row r="7" spans="1:9">
      <c r="A7" s="100">
        <v>41324</v>
      </c>
      <c r="B7" s="133" t="s">
        <v>19</v>
      </c>
      <c r="C7" s="46">
        <v>94</v>
      </c>
      <c r="D7" s="46">
        <v>58</v>
      </c>
      <c r="E7" s="46">
        <v>21</v>
      </c>
      <c r="F7" s="48">
        <f>Table3143[[#This Row],[Quantity Fitted at Shaft/Area]]/Table3143[[#This Row],[Quantity Paraded]]</f>
        <v>0.36206896551724138</v>
      </c>
      <c r="G7" s="46"/>
      <c r="H7" s="12">
        <f>Table3143[[#This Row],[Quantity Fitted at Shaft/Area]]+Table3143[[#This Row],[Quantity Fitted at NC Office]]</f>
        <v>21</v>
      </c>
    </row>
    <row r="8" spans="1:9">
      <c r="A8" s="100">
        <v>41325</v>
      </c>
      <c r="B8" s="127" t="s">
        <v>4</v>
      </c>
      <c r="C8" s="53">
        <v>22</v>
      </c>
      <c r="D8" s="53">
        <v>12</v>
      </c>
      <c r="E8" s="53">
        <v>8</v>
      </c>
      <c r="F8" s="54">
        <f>Table3143[[#This Row],[Quantity Fitted at Shaft/Area]]/Table3143[[#This Row],[Quantity Paraded]]</f>
        <v>0.66666666666666663</v>
      </c>
      <c r="G8" s="53">
        <v>12</v>
      </c>
      <c r="H8" s="14">
        <f>Table3143[[#This Row],[Quantity Fitted at Shaft/Area]]+Table3143[[#This Row],[Quantity Fitted at NC Office]]</f>
        <v>20</v>
      </c>
    </row>
    <row r="9" spans="1:9" ht="13.5" thickBot="1">
      <c r="A9" s="100">
        <v>41325</v>
      </c>
      <c r="B9" s="121" t="s">
        <v>17</v>
      </c>
      <c r="C9" s="9">
        <v>22</v>
      </c>
      <c r="D9" s="9">
        <v>14</v>
      </c>
      <c r="E9" s="9">
        <v>9</v>
      </c>
      <c r="F9" s="44">
        <f>Table3143[[#This Row],[Quantity Fitted at Shaft/Area]]/Table3143[[#This Row],[Quantity Paraded]]</f>
        <v>0.6428571428571429</v>
      </c>
      <c r="G9" s="9"/>
      <c r="H9" s="14">
        <f>Table3143[[#This Row],[Quantity Fitted at Shaft/Area]]+Table3143[[#This Row],[Quantity Fitted at NC Office]]</f>
        <v>9</v>
      </c>
    </row>
    <row r="10" spans="1:9" s="92" customFormat="1" ht="13.5" thickBot="1">
      <c r="A10" s="88" t="s">
        <v>55</v>
      </c>
      <c r="B10" s="89"/>
      <c r="C10" s="89">
        <f>SUM(C5:C9)</f>
        <v>199</v>
      </c>
      <c r="D10" s="89">
        <f>SUM(D5:D9)</f>
        <v>136</v>
      </c>
      <c r="E10" s="89">
        <f>SUM(E5:E9)</f>
        <v>77</v>
      </c>
      <c r="F10" s="91">
        <f>AVERAGE(F5:F9)</f>
        <v>0.48431855500821019</v>
      </c>
      <c r="G10" s="89">
        <f>SUM(G5:G9)</f>
        <v>65</v>
      </c>
      <c r="H10" s="89">
        <f>SUM(H5:H9)</f>
        <v>142</v>
      </c>
    </row>
    <row r="12" spans="1:9" ht="26.25">
      <c r="A12" s="142">
        <f>A1</f>
        <v>41325</v>
      </c>
      <c r="B12" s="142"/>
      <c r="C12" s="142"/>
      <c r="D12" s="142"/>
      <c r="E12" s="142"/>
      <c r="F12" s="142"/>
      <c r="G12" s="142"/>
      <c r="H12" s="142"/>
      <c r="I12" s="142"/>
    </row>
    <row r="13" spans="1:9" ht="13.5" thickBot="1"/>
    <row r="14" spans="1:9" ht="21" thickBot="1">
      <c r="A14" s="139" t="s">
        <v>39</v>
      </c>
      <c r="B14" s="140"/>
      <c r="C14" s="140"/>
      <c r="D14" s="140"/>
      <c r="E14" s="140"/>
      <c r="F14" s="140"/>
      <c r="G14" s="140"/>
      <c r="H14" s="140"/>
      <c r="I14" s="141"/>
    </row>
    <row r="15" spans="1:9" s="26" customFormat="1" ht="80.25" customHeight="1" thickBot="1">
      <c r="A15" s="40" t="s">
        <v>0</v>
      </c>
      <c r="B15" s="41" t="s">
        <v>1</v>
      </c>
      <c r="C15" s="41" t="s">
        <v>33</v>
      </c>
      <c r="D15" s="41" t="s">
        <v>34</v>
      </c>
      <c r="E15" s="41" t="s">
        <v>35</v>
      </c>
      <c r="F15" s="41" t="s">
        <v>36</v>
      </c>
      <c r="G15" s="41" t="s">
        <v>37</v>
      </c>
      <c r="H15" s="41" t="s">
        <v>38</v>
      </c>
      <c r="I15" s="42" t="s">
        <v>23</v>
      </c>
    </row>
    <row r="16" spans="1:9" s="4" customFormat="1">
      <c r="A16" s="37">
        <f t="shared" ref="A16:A21" si="0">A5</f>
        <v>41323</v>
      </c>
      <c r="B16" s="38"/>
      <c r="C16" s="38">
        <v>0</v>
      </c>
      <c r="D16" s="38">
        <v>0</v>
      </c>
      <c r="E16" s="38">
        <v>0</v>
      </c>
      <c r="F16" s="38">
        <v>0</v>
      </c>
      <c r="G16" s="38">
        <v>0</v>
      </c>
      <c r="H16" s="38">
        <v>0</v>
      </c>
      <c r="I16" s="23">
        <f>Table7144[[#This Row],[Leave]]+Table7144[[#This Row],[Discharged]]+Table7144[[#This Row],[Transferred to other Shaft / Area]]+Table7144[[#This Row],[Sick Leave]]+Table7144[[#This Row],[Training]]+Table7144[[#This Row],[Other]]</f>
        <v>0</v>
      </c>
    </row>
    <row r="17" spans="1:9" s="4" customFormat="1">
      <c r="A17" s="16">
        <f t="shared" si="0"/>
        <v>41324</v>
      </c>
      <c r="B17" s="123" t="s">
        <v>9</v>
      </c>
      <c r="C17" s="22">
        <v>0</v>
      </c>
      <c r="D17" s="22">
        <v>0</v>
      </c>
      <c r="E17" s="22">
        <v>3</v>
      </c>
      <c r="F17" s="22">
        <v>0</v>
      </c>
      <c r="G17" s="22">
        <v>6</v>
      </c>
      <c r="H17" s="22">
        <v>0</v>
      </c>
      <c r="I17" s="23">
        <f>Table7144[[#This Row],[Leave]]+Table7144[[#This Row],[Discharged]]+Table7144[[#This Row],[Transferred to other Shaft / Area]]+Table7144[[#This Row],[Sick Leave]]+Table7144[[#This Row],[Training]]+Table7144[[#This Row],[Other]]</f>
        <v>9</v>
      </c>
    </row>
    <row r="18" spans="1:9" s="4" customFormat="1">
      <c r="A18" s="57">
        <f t="shared" si="0"/>
        <v>41324</v>
      </c>
      <c r="B18" s="125" t="s">
        <v>19</v>
      </c>
      <c r="C18" s="58">
        <v>0</v>
      </c>
      <c r="D18" s="58">
        <v>10</v>
      </c>
      <c r="E18" s="58">
        <v>7</v>
      </c>
      <c r="F18" s="58">
        <v>4</v>
      </c>
      <c r="G18" s="58">
        <v>12</v>
      </c>
      <c r="H18" s="58">
        <v>3</v>
      </c>
      <c r="I18" s="23">
        <f>Table7144[[#This Row],[Leave]]+Table7144[[#This Row],[Discharged]]+Table7144[[#This Row],[Transferred to other Shaft / Area]]+Table7144[[#This Row],[Sick Leave]]+Table7144[[#This Row],[Training]]+Table7144[[#This Row],[Other]]</f>
        <v>36</v>
      </c>
    </row>
    <row r="19" spans="1:9" s="4" customFormat="1">
      <c r="A19" s="55">
        <f t="shared" si="0"/>
        <v>41325</v>
      </c>
      <c r="B19" s="128" t="s">
        <v>4</v>
      </c>
      <c r="C19" s="56">
        <v>0</v>
      </c>
      <c r="D19" s="56">
        <v>0</v>
      </c>
      <c r="E19" s="56">
        <v>3</v>
      </c>
      <c r="F19" s="56">
        <v>0</v>
      </c>
      <c r="G19" s="56">
        <v>7</v>
      </c>
      <c r="H19" s="56">
        <v>0</v>
      </c>
      <c r="I19" s="23">
        <f>Table7144[[#This Row],[Leave]]+Table7144[[#This Row],[Discharged]]+Table7144[[#This Row],[Transferred to other Shaft / Area]]+Table7144[[#This Row],[Sick Leave]]+Table7144[[#This Row],[Training]]+Table7144[[#This Row],[Other]]</f>
        <v>10</v>
      </c>
    </row>
    <row r="20" spans="1:9" s="4" customFormat="1" ht="13.5" thickBot="1">
      <c r="A20" s="16">
        <f t="shared" si="0"/>
        <v>41325</v>
      </c>
      <c r="B20" s="123" t="s">
        <v>17</v>
      </c>
      <c r="C20" s="22">
        <v>0</v>
      </c>
      <c r="D20" s="22">
        <v>2</v>
      </c>
      <c r="E20" s="22">
        <v>4</v>
      </c>
      <c r="F20" s="22">
        <v>0</v>
      </c>
      <c r="G20" s="22">
        <v>2</v>
      </c>
      <c r="H20" s="22">
        <v>0</v>
      </c>
      <c r="I20" s="23">
        <f>Table7144[[#This Row],[Leave]]+Table7144[[#This Row],[Discharged]]+Table7144[[#This Row],[Transferred to other Shaft / Area]]+Table7144[[#This Row],[Sick Leave]]+Table7144[[#This Row],[Training]]+Table7144[[#This Row],[Other]]</f>
        <v>8</v>
      </c>
    </row>
    <row r="21" spans="1:9" s="90" customFormat="1" ht="13.5" thickBot="1">
      <c r="A21" s="88" t="str">
        <f t="shared" si="0"/>
        <v>Week 5 Total</v>
      </c>
      <c r="B21" s="89"/>
      <c r="C21" s="89">
        <f t="shared" ref="C21:I21" si="1">SUM(C16:C20)</f>
        <v>0</v>
      </c>
      <c r="D21" s="89">
        <f t="shared" si="1"/>
        <v>12</v>
      </c>
      <c r="E21" s="89">
        <f t="shared" si="1"/>
        <v>17</v>
      </c>
      <c r="F21" s="89">
        <f t="shared" si="1"/>
        <v>4</v>
      </c>
      <c r="G21" s="89">
        <f t="shared" si="1"/>
        <v>27</v>
      </c>
      <c r="H21" s="89">
        <f t="shared" si="1"/>
        <v>3</v>
      </c>
      <c r="I21" s="89">
        <f t="shared" si="1"/>
        <v>63</v>
      </c>
    </row>
    <row r="22" spans="1:9" ht="26.25">
      <c r="A22" s="134">
        <f>A1</f>
        <v>41325</v>
      </c>
      <c r="B22" s="134"/>
      <c r="C22" s="134"/>
      <c r="D22" s="134"/>
      <c r="E22" s="134"/>
      <c r="F22" s="45"/>
      <c r="G22" s="45"/>
      <c r="H22" s="45"/>
      <c r="I22" s="45"/>
    </row>
    <row r="23" spans="1:9" ht="13.5" thickBot="1"/>
    <row r="24" spans="1:9" ht="21" thickBot="1">
      <c r="A24" s="144" t="s">
        <v>8</v>
      </c>
      <c r="B24" s="145"/>
      <c r="C24" s="145"/>
      <c r="D24" s="145"/>
      <c r="E24" s="146"/>
    </row>
    <row r="25" spans="1:9" s="1" customFormat="1" ht="93" customHeight="1" thickBot="1">
      <c r="A25" s="34" t="s">
        <v>0</v>
      </c>
      <c r="B25" s="35" t="s">
        <v>1</v>
      </c>
      <c r="C25" s="35" t="s">
        <v>40</v>
      </c>
      <c r="D25" s="35" t="s">
        <v>42</v>
      </c>
      <c r="E25" s="36" t="s">
        <v>41</v>
      </c>
    </row>
    <row r="26" spans="1:9" s="4" customFormat="1">
      <c r="A26" s="32">
        <f>A5</f>
        <v>41323</v>
      </c>
      <c r="B26" s="33" t="s">
        <v>17</v>
      </c>
      <c r="C26" s="33">
        <v>101</v>
      </c>
      <c r="D26" s="33">
        <v>12</v>
      </c>
      <c r="E26" s="33">
        <v>104</v>
      </c>
    </row>
    <row r="27" spans="1:9" s="4" customFormat="1">
      <c r="A27" s="28">
        <f>A5</f>
        <v>41323</v>
      </c>
      <c r="B27" s="19" t="s">
        <v>4</v>
      </c>
      <c r="C27" s="19">
        <v>17</v>
      </c>
      <c r="D27" s="19">
        <v>6</v>
      </c>
      <c r="E27" s="19"/>
    </row>
    <row r="28" spans="1:9" s="4" customFormat="1">
      <c r="A28" s="28">
        <f t="shared" ref="A28" si="2">A6</f>
        <v>41324</v>
      </c>
      <c r="B28" s="19" t="s">
        <v>19</v>
      </c>
      <c r="C28" s="19">
        <v>1</v>
      </c>
      <c r="D28" s="115">
        <v>0</v>
      </c>
      <c r="E28" s="115">
        <v>110</v>
      </c>
    </row>
    <row r="29" spans="1:9" s="4" customFormat="1">
      <c r="A29" s="30">
        <f>A8</f>
        <v>41325</v>
      </c>
      <c r="B29" s="20" t="s">
        <v>20</v>
      </c>
      <c r="C29" s="20">
        <v>0</v>
      </c>
      <c r="D29" s="20">
        <v>0</v>
      </c>
      <c r="E29" s="31">
        <v>92</v>
      </c>
    </row>
    <row r="30" spans="1:9" s="4" customFormat="1" ht="13.5" thickBot="1">
      <c r="A30" s="30">
        <f>A8</f>
        <v>41325</v>
      </c>
      <c r="B30" s="20" t="s">
        <v>43</v>
      </c>
      <c r="C30" s="20">
        <v>23</v>
      </c>
      <c r="D30" s="20">
        <v>3</v>
      </c>
      <c r="E30" s="31"/>
    </row>
    <row r="31" spans="1:9" s="90" customFormat="1" ht="13.5" thickBot="1">
      <c r="A31" s="88" t="str">
        <f>A10</f>
        <v>Week 5 Total</v>
      </c>
      <c r="B31" s="89"/>
      <c r="C31" s="89">
        <f>SUM(C26:C30)</f>
        <v>142</v>
      </c>
      <c r="D31" s="89">
        <f>SUM(D26:D30)</f>
        <v>21</v>
      </c>
      <c r="E31" s="89">
        <f>SUM(E26:E30)</f>
        <v>306</v>
      </c>
    </row>
    <row r="32" spans="1:9" s="4" customFormat="1">
      <c r="A32"/>
      <c r="B32"/>
      <c r="C32"/>
      <c r="D32"/>
      <c r="E32"/>
    </row>
    <row r="33" spans="1:21" ht="26.25">
      <c r="A33" s="142">
        <f>A1</f>
        <v>41325</v>
      </c>
      <c r="B33" s="142"/>
      <c r="C33" s="142"/>
      <c r="D33" s="142"/>
      <c r="E33" s="142"/>
      <c r="F33" s="142"/>
      <c r="G33" s="142"/>
      <c r="H33" s="142"/>
      <c r="I33" s="142"/>
      <c r="J33" s="142"/>
      <c r="K33" s="142"/>
      <c r="L33" s="142"/>
      <c r="M33" s="142"/>
      <c r="N33" s="142"/>
      <c r="O33" s="142"/>
      <c r="P33" s="142"/>
      <c r="Q33" s="142"/>
      <c r="R33" s="142"/>
      <c r="S33" s="142"/>
      <c r="T33" s="142"/>
      <c r="U33" s="142"/>
    </row>
    <row r="34" spans="1:21" ht="13.5" thickBot="1"/>
    <row r="35" spans="1:21" ht="21" thickBot="1">
      <c r="A35" s="139" t="s">
        <v>12</v>
      </c>
      <c r="B35" s="140"/>
      <c r="C35" s="140"/>
      <c r="D35" s="140"/>
      <c r="E35" s="140"/>
      <c r="F35" s="140"/>
      <c r="G35" s="140"/>
      <c r="H35" s="140"/>
      <c r="I35" s="140"/>
      <c r="J35" s="140"/>
      <c r="K35" s="140"/>
      <c r="L35" s="140"/>
      <c r="M35" s="140"/>
      <c r="N35" s="140"/>
      <c r="O35" s="140"/>
      <c r="P35" s="140"/>
      <c r="Q35" s="140"/>
      <c r="R35" s="140"/>
      <c r="S35" s="140"/>
      <c r="T35" s="140"/>
      <c r="U35" s="141"/>
    </row>
    <row r="36" spans="1:21" s="1" customFormat="1" ht="80.25" customHeight="1" thickBot="1">
      <c r="A36" s="40" t="s">
        <v>0</v>
      </c>
      <c r="B36" s="41" t="s">
        <v>13</v>
      </c>
      <c r="C36" s="41" t="s">
        <v>14</v>
      </c>
      <c r="D36" s="41" t="s">
        <v>15</v>
      </c>
      <c r="E36" s="41" t="s">
        <v>16</v>
      </c>
      <c r="F36" s="41" t="s">
        <v>9</v>
      </c>
      <c r="G36" s="41" t="s">
        <v>10</v>
      </c>
      <c r="H36" s="41" t="s">
        <v>5</v>
      </c>
      <c r="I36" s="41" t="s">
        <v>3</v>
      </c>
      <c r="J36" s="41" t="s">
        <v>4</v>
      </c>
      <c r="K36" s="41" t="s">
        <v>17</v>
      </c>
      <c r="L36" s="41" t="s">
        <v>7</v>
      </c>
      <c r="M36" s="41" t="s">
        <v>11</v>
      </c>
      <c r="N36" s="41" t="s">
        <v>18</v>
      </c>
      <c r="O36" s="41" t="s">
        <v>6</v>
      </c>
      <c r="P36" s="41" t="s">
        <v>19</v>
      </c>
      <c r="Q36" s="41" t="s">
        <v>20</v>
      </c>
      <c r="R36" s="41" t="s">
        <v>21</v>
      </c>
      <c r="S36" s="41" t="s">
        <v>22</v>
      </c>
      <c r="T36" s="41" t="s">
        <v>43</v>
      </c>
      <c r="U36" s="42" t="s">
        <v>44</v>
      </c>
    </row>
    <row r="37" spans="1:21" s="21" customFormat="1">
      <c r="A37" s="37">
        <f>A5</f>
        <v>41323</v>
      </c>
      <c r="B37" s="38">
        <v>5</v>
      </c>
      <c r="C37" s="38">
        <v>1</v>
      </c>
      <c r="D37" s="38">
        <v>3</v>
      </c>
      <c r="E37" s="38">
        <v>0</v>
      </c>
      <c r="F37" s="38">
        <v>1</v>
      </c>
      <c r="G37" s="38">
        <v>1</v>
      </c>
      <c r="H37" s="38">
        <v>0</v>
      </c>
      <c r="I37" s="38">
        <v>0</v>
      </c>
      <c r="J37" s="38">
        <v>1</v>
      </c>
      <c r="K37" s="38">
        <v>1</v>
      </c>
      <c r="L37" s="38">
        <v>3</v>
      </c>
      <c r="M37" s="38">
        <v>3</v>
      </c>
      <c r="N37" s="38">
        <v>3</v>
      </c>
      <c r="O37" s="38">
        <v>1</v>
      </c>
      <c r="P37" s="38">
        <v>3</v>
      </c>
      <c r="Q37" s="38">
        <v>1</v>
      </c>
      <c r="R37" s="38">
        <v>2</v>
      </c>
      <c r="S37" s="38">
        <v>0</v>
      </c>
      <c r="T37" s="38">
        <v>7</v>
      </c>
      <c r="U37" s="39">
        <f>SUM(Table10146[[#This Row],[1'#]:[Minpro]])</f>
        <v>36</v>
      </c>
    </row>
    <row r="38" spans="1:21" s="21" customFormat="1">
      <c r="A38" s="37">
        <f>A6</f>
        <v>41324</v>
      </c>
      <c r="B38" s="22">
        <v>3</v>
      </c>
      <c r="C38" s="22">
        <v>0</v>
      </c>
      <c r="D38" s="22">
        <v>0</v>
      </c>
      <c r="E38" s="22">
        <v>0</v>
      </c>
      <c r="F38" s="22">
        <v>0</v>
      </c>
      <c r="G38" s="22">
        <v>1</v>
      </c>
      <c r="H38" s="22">
        <v>0</v>
      </c>
      <c r="I38" s="22">
        <v>0</v>
      </c>
      <c r="J38" s="22">
        <v>4</v>
      </c>
      <c r="K38" s="22">
        <v>2</v>
      </c>
      <c r="L38" s="22">
        <v>2</v>
      </c>
      <c r="M38" s="22">
        <v>1</v>
      </c>
      <c r="N38" s="22">
        <v>5</v>
      </c>
      <c r="O38" s="22">
        <v>4</v>
      </c>
      <c r="P38" s="22">
        <v>4</v>
      </c>
      <c r="Q38" s="22">
        <v>1</v>
      </c>
      <c r="R38" s="22">
        <v>1</v>
      </c>
      <c r="S38" s="22">
        <v>0</v>
      </c>
      <c r="T38" s="22">
        <v>1</v>
      </c>
      <c r="U38" s="23">
        <f>SUM(Table10146[[#This Row],[1'#]:[Minpro]])</f>
        <v>29</v>
      </c>
    </row>
    <row r="39" spans="1:21" s="21" customFormat="1" ht="13.5" thickBot="1">
      <c r="A39" s="16">
        <f>A8</f>
        <v>41325</v>
      </c>
      <c r="B39" s="22">
        <v>1</v>
      </c>
      <c r="C39" s="22">
        <v>2</v>
      </c>
      <c r="D39" s="22">
        <v>0</v>
      </c>
      <c r="E39" s="22">
        <v>1</v>
      </c>
      <c r="F39" s="22">
        <v>2</v>
      </c>
      <c r="G39" s="22">
        <v>2</v>
      </c>
      <c r="H39" s="22">
        <v>0</v>
      </c>
      <c r="I39" s="22">
        <v>8</v>
      </c>
      <c r="J39" s="22">
        <v>0</v>
      </c>
      <c r="K39" s="22">
        <v>0</v>
      </c>
      <c r="L39" s="22">
        <v>3</v>
      </c>
      <c r="M39" s="22">
        <v>1</v>
      </c>
      <c r="N39" s="22">
        <v>2</v>
      </c>
      <c r="O39" s="22">
        <v>2</v>
      </c>
      <c r="P39" s="22">
        <v>0</v>
      </c>
      <c r="Q39" s="22">
        <v>0</v>
      </c>
      <c r="R39" s="22">
        <v>2</v>
      </c>
      <c r="S39" s="22">
        <v>0</v>
      </c>
      <c r="T39" s="22">
        <v>1</v>
      </c>
      <c r="U39" s="23">
        <f>SUM(Table10146[[#This Row],[1'#]:[Minpro]])</f>
        <v>27</v>
      </c>
    </row>
    <row r="40" spans="1:21" s="87" customFormat="1" ht="13.5" thickBot="1">
      <c r="A40" s="85" t="str">
        <f>A10</f>
        <v>Week 5 Total</v>
      </c>
      <c r="B40" s="86">
        <f t="shared" ref="B40:U40" si="3">SUM(B37:B39)</f>
        <v>9</v>
      </c>
      <c r="C40" s="86">
        <f t="shared" si="3"/>
        <v>3</v>
      </c>
      <c r="D40" s="86">
        <f t="shared" si="3"/>
        <v>3</v>
      </c>
      <c r="E40" s="86">
        <f t="shared" si="3"/>
        <v>1</v>
      </c>
      <c r="F40" s="86">
        <f t="shared" si="3"/>
        <v>3</v>
      </c>
      <c r="G40" s="86">
        <f t="shared" si="3"/>
        <v>4</v>
      </c>
      <c r="H40" s="86">
        <f t="shared" si="3"/>
        <v>0</v>
      </c>
      <c r="I40" s="86">
        <f t="shared" si="3"/>
        <v>8</v>
      </c>
      <c r="J40" s="86">
        <f t="shared" si="3"/>
        <v>5</v>
      </c>
      <c r="K40" s="86">
        <f t="shared" si="3"/>
        <v>3</v>
      </c>
      <c r="L40" s="86">
        <f t="shared" si="3"/>
        <v>8</v>
      </c>
      <c r="M40" s="86">
        <f t="shared" si="3"/>
        <v>5</v>
      </c>
      <c r="N40" s="86">
        <f t="shared" si="3"/>
        <v>10</v>
      </c>
      <c r="O40" s="86">
        <f t="shared" si="3"/>
        <v>7</v>
      </c>
      <c r="P40" s="86">
        <f t="shared" si="3"/>
        <v>7</v>
      </c>
      <c r="Q40" s="86">
        <f t="shared" si="3"/>
        <v>2</v>
      </c>
      <c r="R40" s="86">
        <f t="shared" si="3"/>
        <v>5</v>
      </c>
      <c r="S40" s="86">
        <f t="shared" si="3"/>
        <v>0</v>
      </c>
      <c r="T40" s="86">
        <f t="shared" si="3"/>
        <v>9</v>
      </c>
      <c r="U40" s="86">
        <f t="shared" si="3"/>
        <v>92</v>
      </c>
    </row>
    <row r="41" spans="1:21" s="21" customFormat="1" ht="26.25">
      <c r="A41" s="134">
        <f>A1</f>
        <v>41325</v>
      </c>
      <c r="B41" s="134"/>
      <c r="C41" s="134"/>
      <c r="D41" s="134"/>
      <c r="E41" s="134"/>
      <c r="F41" s="134"/>
      <c r="G41" s="134"/>
      <c r="H41" s="134"/>
      <c r="I41" s="134"/>
      <c r="J41" s="134"/>
      <c r="K41"/>
      <c r="L41"/>
      <c r="M41"/>
      <c r="N41"/>
      <c r="O41"/>
      <c r="P41"/>
      <c r="Q41"/>
      <c r="R41"/>
      <c r="S41"/>
      <c r="T41"/>
      <c r="U41"/>
    </row>
    <row r="42" spans="1:21" ht="13.5" thickBot="1"/>
    <row r="43" spans="1:21" ht="21" thickBot="1">
      <c r="A43" s="136" t="s">
        <v>52</v>
      </c>
      <c r="B43" s="137"/>
      <c r="C43" s="137"/>
      <c r="D43" s="137"/>
      <c r="E43" s="137"/>
      <c r="F43" s="137"/>
      <c r="G43" s="137"/>
      <c r="H43" s="137"/>
      <c r="I43" s="137"/>
      <c r="J43" s="138"/>
    </row>
    <row r="44" spans="1:21" ht="51.75" thickBot="1">
      <c r="A44" s="40" t="s">
        <v>0</v>
      </c>
      <c r="B44" s="41" t="s">
        <v>24</v>
      </c>
      <c r="C44" s="41" t="s">
        <v>48</v>
      </c>
      <c r="D44" s="41" t="s">
        <v>25</v>
      </c>
      <c r="E44" s="41" t="s">
        <v>49</v>
      </c>
      <c r="F44" s="41" t="s">
        <v>45</v>
      </c>
      <c r="G44" s="41" t="s">
        <v>50</v>
      </c>
      <c r="H44" s="41" t="s">
        <v>46</v>
      </c>
      <c r="I44" s="41" t="s">
        <v>51</v>
      </c>
      <c r="J44" s="42" t="s">
        <v>47</v>
      </c>
      <c r="K44" s="1"/>
      <c r="L44" s="1"/>
      <c r="M44" s="1"/>
      <c r="N44" s="1"/>
      <c r="O44" s="1"/>
      <c r="P44" s="1"/>
      <c r="Q44" s="1"/>
      <c r="R44" s="1"/>
      <c r="S44" s="1"/>
      <c r="T44" s="1"/>
      <c r="U44" s="1"/>
    </row>
    <row r="45" spans="1:21" s="1" customFormat="1" ht="13.5" thickBot="1">
      <c r="A45" s="3">
        <f>A5</f>
        <v>41323</v>
      </c>
      <c r="B45" s="10">
        <v>13</v>
      </c>
      <c r="C45" s="44">
        <f>Table11147[[#This Row],[Contractors]]/U37</f>
        <v>0.3611111111111111</v>
      </c>
      <c r="D45" s="10">
        <v>1</v>
      </c>
      <c r="E45" s="44">
        <f>Table11147[[#This Row],[New Recruits]]/U37</f>
        <v>2.7777777777777776E-2</v>
      </c>
      <c r="F45" s="10">
        <v>14</v>
      </c>
      <c r="G45" s="44">
        <f>Table11147[[#This Row],[2 Year Claims]]/U37</f>
        <v>0.3888888888888889</v>
      </c>
      <c r="H45" s="10">
        <v>0</v>
      </c>
      <c r="I45" s="44">
        <f>Table11147[[#This Row],[5 Year Claim]]/U37</f>
        <v>0</v>
      </c>
      <c r="J45" s="11">
        <v>5</v>
      </c>
      <c r="K45"/>
      <c r="L45"/>
      <c r="M45"/>
      <c r="N45"/>
      <c r="O45"/>
      <c r="P45"/>
      <c r="Q45"/>
      <c r="R45"/>
      <c r="S45"/>
      <c r="T45"/>
      <c r="U45"/>
    </row>
    <row r="46" spans="1:21" s="1" customFormat="1" ht="13.5" thickBot="1">
      <c r="A46" s="129">
        <f>A6</f>
        <v>41324</v>
      </c>
      <c r="B46" s="130">
        <v>10</v>
      </c>
      <c r="C46" s="131">
        <f>Table11147[[#This Row],[Contractors]]/U38</f>
        <v>0.34482758620689657</v>
      </c>
      <c r="D46" s="132">
        <v>0</v>
      </c>
      <c r="E46" s="13">
        <f>Table11147[[#This Row],[New Recruits]]/U38</f>
        <v>0</v>
      </c>
      <c r="F46" s="132">
        <v>17</v>
      </c>
      <c r="G46" s="13">
        <f>Table11147[[#This Row],[2 Year Claims]]/U38</f>
        <v>0.58620689655172409</v>
      </c>
      <c r="H46" s="132">
        <v>0</v>
      </c>
      <c r="I46" s="13">
        <f>Table11147[[#This Row],[5 Year Claim]]/U38</f>
        <v>0</v>
      </c>
      <c r="J46" s="132">
        <v>4</v>
      </c>
      <c r="K46"/>
      <c r="L46"/>
      <c r="M46"/>
      <c r="N46"/>
      <c r="O46"/>
      <c r="P46"/>
      <c r="Q46"/>
      <c r="R46"/>
      <c r="S46"/>
      <c r="T46"/>
      <c r="U46"/>
    </row>
    <row r="47" spans="1:21" ht="13.5" thickBot="1">
      <c r="A47" s="2">
        <f>A8</f>
        <v>41325</v>
      </c>
      <c r="B47" s="9">
        <v>7</v>
      </c>
      <c r="C47" s="13">
        <f>Table11147[[#This Row],[Contractors]]/U39</f>
        <v>0.25925925925925924</v>
      </c>
      <c r="D47" s="9">
        <v>0</v>
      </c>
      <c r="E47" s="13">
        <f>Table11147[[#This Row],[New Recruits]]/U39</f>
        <v>0</v>
      </c>
      <c r="F47" s="9">
        <v>13</v>
      </c>
      <c r="G47" s="13">
        <f>Table11147[[#This Row],[2 Year Claims]]/U39</f>
        <v>0.48148148148148145</v>
      </c>
      <c r="H47" s="9">
        <v>0</v>
      </c>
      <c r="I47" s="13">
        <f>Table11147[[#This Row],[5 Year Claim]]/U39</f>
        <v>0</v>
      </c>
      <c r="J47" s="110">
        <v>2</v>
      </c>
    </row>
    <row r="48" spans="1:21" ht="13.5" thickBot="1">
      <c r="A48" s="84" t="str">
        <f>A10</f>
        <v>Week 5 Total</v>
      </c>
      <c r="B48" s="112">
        <f>SUM(B45:B47)</f>
        <v>30</v>
      </c>
      <c r="C48" s="113">
        <f>AVERAGE(C45:C47)</f>
        <v>0.32173265219242236</v>
      </c>
      <c r="D48" s="112">
        <f>SUM(D45:D47)</f>
        <v>1</v>
      </c>
      <c r="E48" s="113">
        <f>AVERAGE(E45:E47)</f>
        <v>9.2592592592592587E-3</v>
      </c>
      <c r="F48" s="112">
        <f>SUM(F45:F47)</f>
        <v>44</v>
      </c>
      <c r="G48" s="113">
        <f>AVERAGE(G45:G47)</f>
        <v>0.48552575564069816</v>
      </c>
      <c r="H48" s="112">
        <f>SUM(H45:H47)</f>
        <v>0</v>
      </c>
      <c r="I48" s="113">
        <f>AVERAGE(I45:I47)</f>
        <v>0</v>
      </c>
      <c r="J48" s="112">
        <f>SUM(J45:J47)</f>
        <v>11</v>
      </c>
    </row>
  </sheetData>
  <mergeCells count="10">
    <mergeCell ref="A43:J43"/>
    <mergeCell ref="A33:U33"/>
    <mergeCell ref="A1:H1"/>
    <mergeCell ref="A3:H3"/>
    <mergeCell ref="A41:J41"/>
    <mergeCell ref="A12:I12"/>
    <mergeCell ref="A14:I14"/>
    <mergeCell ref="A22:E22"/>
    <mergeCell ref="A24:E24"/>
    <mergeCell ref="A35:U35"/>
  </mergeCells>
  <phoneticPr fontId="1" type="noConversion"/>
  <conditionalFormatting sqref="D26">
    <cfRule type="cellIs" dxfId="274" priority="26" operator="greaterThan">
      <formula>$C$26</formula>
    </cfRule>
  </conditionalFormatting>
  <conditionalFormatting sqref="D27:D28">
    <cfRule type="cellIs" dxfId="273" priority="25" operator="greaterThan">
      <formula>$C$27</formula>
    </cfRule>
  </conditionalFormatting>
  <conditionalFormatting sqref="D29">
    <cfRule type="cellIs" dxfId="272" priority="21" operator="greaterThan">
      <formula>$C$29</formula>
    </cfRule>
  </conditionalFormatting>
  <conditionalFormatting sqref="F5:F10">
    <cfRule type="cellIs" dxfId="271" priority="1" operator="lessThan">
      <formula>0.7</formula>
    </cfRule>
    <cfRule type="cellIs" dxfId="270" priority="2" operator="greaterThan">
      <formula>0.7</formula>
    </cfRule>
  </conditionalFormatting>
  <pageMargins left="0.75" right="0.75" top="1" bottom="1" header="0.5" footer="0.5"/>
  <headerFooter alignWithMargins="0"/>
  <legacyDrawing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Week 1 Stats</vt:lpstr>
      <vt:lpstr>Week 1 Graphs</vt:lpstr>
      <vt:lpstr>Week 2 Stats</vt:lpstr>
      <vt:lpstr>Week 2 Graphs</vt:lpstr>
      <vt:lpstr>Week 3 Stats</vt:lpstr>
      <vt:lpstr>Week 3 Graphs</vt:lpstr>
      <vt:lpstr>Week 4 Stats</vt:lpstr>
      <vt:lpstr>Week 4 Graphs</vt:lpstr>
      <vt:lpstr>Week 5 Stats</vt:lpstr>
      <vt:lpstr>Week 5 Graph</vt:lpstr>
      <vt:lpstr>Month Stats</vt:lpstr>
      <vt:lpstr>Month Graphs</vt:lpstr>
      <vt:lpstr>Sheet1</vt:lpstr>
      <vt:lpstr>'Month Stats'!Print_Area</vt:lpstr>
    </vt:vector>
  </TitlesOfParts>
  <Company>Noise Clipper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IMPALA2</dc:creator>
  <cp:lastModifiedBy>P4148318</cp:lastModifiedBy>
  <cp:lastPrinted>2009-06-11T19:52:06Z</cp:lastPrinted>
  <dcterms:created xsi:type="dcterms:W3CDTF">2008-10-27T05:52:01Z</dcterms:created>
  <dcterms:modified xsi:type="dcterms:W3CDTF">2013-03-15T04:40:34Z</dcterms:modified>
</cp:coreProperties>
</file>